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<sst xmlns="http://schemas.openxmlformats.org/spreadsheetml/2006/main" count="1935" uniqueCount="922">
  <si>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</si>
  <si>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</si>
  <si>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</si>
  <si>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</si>
  <si>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</si>
  <si>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</si>
  <si>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</si>
  <si>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</si>
  <si>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</si>
  <si>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</si>
  <si>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</si>
  <si>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</si>
  <si>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</si>
  <si>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</si>
  <si>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</si>
  <si>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</si>
  <si>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</si>
  <si>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</si>
  <si>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</si>
  <si>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</si>
  <si>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</si>
  <si>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</si>
  <si>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</si>
  <si>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</si>
  <si>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</si>
  <si>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</si>
  <si>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</si>
  <si>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</si>
  <si>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</si>
  <si>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</si>
  <si>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</si>
  <si>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</si>
  <si>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</si>
  <si>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</si>
  <si>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</si>
  <si>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</si>
  <si>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</si>
  <si>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</si>
  <si>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</si>
  <si>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</si>
  <si>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</si>
  <si>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</si>
  <si>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</si>
  <si>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</si>
  <si>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</si>
  <si>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</si>
  <si>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</si>
  <si>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</si>
  <si>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</si>
  <si>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</si>
  <si>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</si>
  <si>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</si>
  <si>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</si>
  <si>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</si>
  <si>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</si>
  <si>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</si>
  <si>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</si>
  <si>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</si>
  <si>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</si>
  <si>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</si>
  <si>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</si>
  <si>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</si>
  <si>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</si>
  <si>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</si>
  <si>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</si>
  <si>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</si>
  <si>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</si>
  <si>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</si>
  <si>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</si>
  <si>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</si>
  <si>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</si>
  <si>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</si>
  <si>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</si>
  <si>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</si>
  <si>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</si>
  <si>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</si>
  <si>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</si>
  <si>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</si>
  <si>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</si>
  <si>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</si>
  <si>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</si>
  <si>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</si>
  <si>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</si>
  <si>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</si>
  <si>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</si>
  <si>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</si>
  <si>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</si>
  <si>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</si>
  <si>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</si>
  <si>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</si>
  <si>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</si>
  <si>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</si>
  <si>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</si>
  <si>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</si>
  <si>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</si>
  <si>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</si>
  <si>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</si>
  <si>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</si>
  <si>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</si>
  <si>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</si>
  <si>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</si>
  <si>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</si>
  <si>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</si>
  <si>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</si>
  <si>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</si>
  <si>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</si>
  <si>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</si>
  <si>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</si>
  <si>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</si>
  <si>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</si>
  <si>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</si>
  <si>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</si>
  <si>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</si>
  <si>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</si>
  <si>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</si>
  <si>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</si>
  <si>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</si>
  <si>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</si>
  <si>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</si>
  <si>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</si>
  <si>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</si>
  <si>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</si>
  <si>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</si>
  <si>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</si>
  <si>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</si>
  <si>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</si>
  <si>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</si>
  <si>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</si>
  <si>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</si>
  <si>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</si>
  <si>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</si>
  <si>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</si>
  <si>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</si>
  <si>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</si>
  <si>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</si>
  <si>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</si>
  <si>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</si>
  <si>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</si>
  <si>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</si>
  <si>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</si>
  <si>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</si>
  <si>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</si>
  <si>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</si>
  <si>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Poznámka:</t>
  </si>
  <si>
    <t>Objekt</t>
  </si>
  <si>
    <t>Kód</t>
  </si>
  <si>
    <t>210112211VD</t>
  </si>
  <si>
    <t>210112212VD</t>
  </si>
  <si>
    <t>210112213VD</t>
  </si>
  <si>
    <t>210112214VD</t>
  </si>
  <si>
    <t>210112215VD</t>
  </si>
  <si>
    <t>210112216VD</t>
  </si>
  <si>
    <t>210112217VD</t>
  </si>
  <si>
    <t>210112219VD</t>
  </si>
  <si>
    <t>210112221VD</t>
  </si>
  <si>
    <t>210112222VD</t>
  </si>
  <si>
    <t>973031616R00</t>
  </si>
  <si>
    <t>210112223VD</t>
  </si>
  <si>
    <t>210112224VD</t>
  </si>
  <si>
    <t>210112225VD</t>
  </si>
  <si>
    <t>319201311R00</t>
  </si>
  <si>
    <t>602016113R00</t>
  </si>
  <si>
    <t>610991111R00</t>
  </si>
  <si>
    <t>612420014RA0</t>
  </si>
  <si>
    <t>612481113R00</t>
  </si>
  <si>
    <t>612403386R00</t>
  </si>
  <si>
    <t>721</t>
  </si>
  <si>
    <t>721210814R00</t>
  </si>
  <si>
    <t>721223424R00</t>
  </si>
  <si>
    <t>722</t>
  </si>
  <si>
    <t>722172312R00</t>
  </si>
  <si>
    <t>722172332R00</t>
  </si>
  <si>
    <t>722172331R00</t>
  </si>
  <si>
    <t>722182021R00</t>
  </si>
  <si>
    <t>283771001</t>
  </si>
  <si>
    <t>722220111R00</t>
  </si>
  <si>
    <t>722290215R00</t>
  </si>
  <si>
    <t>722290234R00</t>
  </si>
  <si>
    <t>722190831R00</t>
  </si>
  <si>
    <t>725</t>
  </si>
  <si>
    <t>725110811R00</t>
  </si>
  <si>
    <t>725119205R00</t>
  </si>
  <si>
    <t>64232403</t>
  </si>
  <si>
    <t>551674064</t>
  </si>
  <si>
    <t>725810402R00</t>
  </si>
  <si>
    <t>725210821R00</t>
  </si>
  <si>
    <t>725219201R00</t>
  </si>
  <si>
    <t>642174222</t>
  </si>
  <si>
    <t>55161200</t>
  </si>
  <si>
    <t>725860109R00</t>
  </si>
  <si>
    <t>725820801R00</t>
  </si>
  <si>
    <t>725829202R00</t>
  </si>
  <si>
    <t>55145000</t>
  </si>
  <si>
    <t>725310823R00</t>
  </si>
  <si>
    <t>725319101R00</t>
  </si>
  <si>
    <t>55231346</t>
  </si>
  <si>
    <t>55161605</t>
  </si>
  <si>
    <t>551450004</t>
  </si>
  <si>
    <t>725330840R00</t>
  </si>
  <si>
    <t>725339101R00</t>
  </si>
  <si>
    <t>64271105</t>
  </si>
  <si>
    <t>725860107R00</t>
  </si>
  <si>
    <t>55145002VD</t>
  </si>
  <si>
    <t>725240811R00</t>
  </si>
  <si>
    <t>725200050RA0</t>
  </si>
  <si>
    <t>55428098.A</t>
  </si>
  <si>
    <t>725860322R00</t>
  </si>
  <si>
    <t>55161596</t>
  </si>
  <si>
    <t>725840850R00</t>
  </si>
  <si>
    <t>725840860R00</t>
  </si>
  <si>
    <t>725849203R00</t>
  </si>
  <si>
    <t>725849302R00</t>
  </si>
  <si>
    <t>551450092</t>
  </si>
  <si>
    <t>725111125VD</t>
  </si>
  <si>
    <t>725111124VD</t>
  </si>
  <si>
    <t>55149005</t>
  </si>
  <si>
    <t>55149026</t>
  </si>
  <si>
    <t>55149050</t>
  </si>
  <si>
    <t>55149060</t>
  </si>
  <si>
    <t>551111111VD</t>
  </si>
  <si>
    <t>726190905R00</t>
  </si>
  <si>
    <t>725980113RT1</t>
  </si>
  <si>
    <t>28349056</t>
  </si>
  <si>
    <t>766</t>
  </si>
  <si>
    <t>766662811R00</t>
  </si>
  <si>
    <t>766695212R00</t>
  </si>
  <si>
    <t>61187156</t>
  </si>
  <si>
    <t>766660010RA0</t>
  </si>
  <si>
    <t>61160110</t>
  </si>
  <si>
    <t>766660014RA0</t>
  </si>
  <si>
    <t>61160112</t>
  </si>
  <si>
    <t>766669000VD</t>
  </si>
  <si>
    <t>54914627</t>
  </si>
  <si>
    <t>767</t>
  </si>
  <si>
    <t>767811100R00</t>
  </si>
  <si>
    <t>42972805</t>
  </si>
  <si>
    <t>42972814</t>
  </si>
  <si>
    <t>767584811R00</t>
  </si>
  <si>
    <t>771</t>
  </si>
  <si>
    <t>771100010RA0</t>
  </si>
  <si>
    <t>771101141R00</t>
  </si>
  <si>
    <t>0010003VD</t>
  </si>
  <si>
    <t>771575107RT2</t>
  </si>
  <si>
    <t>597000000VD</t>
  </si>
  <si>
    <t>771579795R00</t>
  </si>
  <si>
    <t>776</t>
  </si>
  <si>
    <t>776511820RT1</t>
  </si>
  <si>
    <t>776511820RT2</t>
  </si>
  <si>
    <t>776511820RT3</t>
  </si>
  <si>
    <t>776401800R00</t>
  </si>
  <si>
    <t>776101115R00</t>
  </si>
  <si>
    <t>776101121R00</t>
  </si>
  <si>
    <t>776520010RAI</t>
  </si>
  <si>
    <t>284110012VD</t>
  </si>
  <si>
    <t>284110011VD</t>
  </si>
  <si>
    <t>28342401</t>
  </si>
  <si>
    <t>776981101R00</t>
  </si>
  <si>
    <t>5537007111</t>
  </si>
  <si>
    <t>781</t>
  </si>
  <si>
    <t>781415016R00</t>
  </si>
  <si>
    <t>597000002VD</t>
  </si>
  <si>
    <t>781101210R00</t>
  </si>
  <si>
    <t>781101142R00</t>
  </si>
  <si>
    <t>781491001R00</t>
  </si>
  <si>
    <t>54916830</t>
  </si>
  <si>
    <t>783</t>
  </si>
  <si>
    <t>783220010RAC</t>
  </si>
  <si>
    <t>784</t>
  </si>
  <si>
    <t>784900010RAB</t>
  </si>
  <si>
    <t>784432271R00</t>
  </si>
  <si>
    <t>941955001R00</t>
  </si>
  <si>
    <t>952901111R00</t>
  </si>
  <si>
    <t>965081712R00</t>
  </si>
  <si>
    <t>968061125R00</t>
  </si>
  <si>
    <t>978059511R00</t>
  </si>
  <si>
    <t>974031153R00</t>
  </si>
  <si>
    <t>962221138VD</t>
  </si>
  <si>
    <t>H99</t>
  </si>
  <si>
    <t>999281105R00</t>
  </si>
  <si>
    <t>S</t>
  </si>
  <si>
    <t>979082111R00</t>
  </si>
  <si>
    <t>979087113R00</t>
  </si>
  <si>
    <t>979081111R00</t>
  </si>
  <si>
    <t>979081121R00</t>
  </si>
  <si>
    <t>979999999R00</t>
  </si>
  <si>
    <t>Oprava interiérů na DM SO 102 - sekce B</t>
  </si>
  <si>
    <t>4.NP</t>
  </si>
  <si>
    <t>Domov mládeže, Dělnická 21, Most Velebudoce</t>
  </si>
  <si>
    <t>Zkrácený popis</t>
  </si>
  <si>
    <t>Rozměry</t>
  </si>
  <si>
    <t>Elektroinstalace</t>
  </si>
  <si>
    <t>Montáž zásuvek se zapojením vodičů, pro prostředí obyčejné nebo vlhké provedení</t>
  </si>
  <si>
    <t>73+1;viz tabulka;</t>
  </si>
  <si>
    <t>Zásuvka</t>
  </si>
  <si>
    <t>73;viz tabulka;</t>
  </si>
  <si>
    <t>Dvojzásuvka</t>
  </si>
  <si>
    <t>1;viz tabulka;</t>
  </si>
  <si>
    <t>Montáž spínačů jedno nebo dvoupólových nástěnných se zapojením vodičů, pro prostředí obyčejné nebo vlhké</t>
  </si>
  <si>
    <t>113+2;viz tabulka;</t>
  </si>
  <si>
    <t>Spínač jednopólový</t>
  </si>
  <si>
    <t>113;viz tabulka;</t>
  </si>
  <si>
    <t>Spínač dvojpólový</t>
  </si>
  <si>
    <t>2;viz tabulka;</t>
  </si>
  <si>
    <t>Montáž svítidel žárovkových se zapojením vodičů</t>
  </si>
  <si>
    <t>55;čtvercové;</t>
  </si>
  <si>
    <t>38;lampička;</t>
  </si>
  <si>
    <t>;viz tabulka;</t>
  </si>
  <si>
    <t>Svítidlo čtvercové</t>
  </si>
  <si>
    <t>55;viz tabulka;</t>
  </si>
  <si>
    <t>Lampička</t>
  </si>
  <si>
    <t>38;viz tabulka;</t>
  </si>
  <si>
    <t>Demontáž zásuvek a spínačů</t>
  </si>
  <si>
    <t>74;viz montáž zásuvek;</t>
  </si>
  <si>
    <t>115;viz montáž spínačů;</t>
  </si>
  <si>
    <t>Vysekání kapes zeď pro osazení spínačů a zásuvek včetně začištění</t>
  </si>
  <si>
    <t>189;viz demontáž zásuvek a spínačů;</t>
  </si>
  <si>
    <t>Demontáž svítidel</t>
  </si>
  <si>
    <t>55+38+4;viz montáž svítidel;</t>
  </si>
  <si>
    <t>Montáž svítidel zářivkových se zapojením vodičů</t>
  </si>
  <si>
    <t>4;viz tabulka;</t>
  </si>
  <si>
    <t>Zářivkové svítidlo</t>
  </si>
  <si>
    <t>Zdi podpěrné a volné</t>
  </si>
  <si>
    <t>Vyrovnání povrchu zdiva maltou tl.do 3 cm po odsekání obkladů</t>
  </si>
  <si>
    <t>16,50;viz odstranění kabřincového obkladu;</t>
  </si>
  <si>
    <t>(1,2+1,75+2,05+0,8)*1,8+(0,8+0,9+1,75+0,2)*2,5-0,6*2;umývárna 412;</t>
  </si>
  <si>
    <t>(1,5+0,85)*2*1,8-0,6*1,8;wc 412;</t>
  </si>
  <si>
    <t>18,365+7,38;umývárna a wc 413;</t>
  </si>
  <si>
    <t>18,365+7,38;umývárna a wc 414;</t>
  </si>
  <si>
    <t>18,365+7,38;umývárna a wc 416;</t>
  </si>
  <si>
    <t>18,365+7,38;umývárna a wc 417;</t>
  </si>
  <si>
    <t>(2,7+0,6)*1;kuchyň 419;</t>
  </si>
  <si>
    <t>(1,15+2,2)*2*1,8-0,6*1,8*2;předsíň 419;</t>
  </si>
  <si>
    <t>(1+1,4)*2*1,8-0,6*1,8;wc 419;</t>
  </si>
  <si>
    <t>(1,85+1,3)*2*1,8-0,8*1,8;úklid 419;</t>
  </si>
  <si>
    <t>(1,7+0,85)*2*1,8-0,6*1,8;wc 430;</t>
  </si>
  <si>
    <t>(2,5+1,65+1,55+0,85)*1,8+(0,75+0,85+1,65)*2,5-0,6*1,8;umývárna 430;</t>
  </si>
  <si>
    <t>Úpravy povrchů,podlahy a osazování výplní otvorů</t>
  </si>
  <si>
    <t>Omítka stěn jádrová pod obklady</t>
  </si>
  <si>
    <t>228,565;viz vyrovnání zdiva;</t>
  </si>
  <si>
    <t>Úprava povrchů vnitřní</t>
  </si>
  <si>
    <t>Zakrývání výplní vnitřních otvorů</t>
  </si>
  <si>
    <t>2,4*1,6*16;okna;</t>
  </si>
  <si>
    <t>(1,5*1,6+0,9*2,4)*2;balkónové sestavy;</t>
  </si>
  <si>
    <t>Omítka stěn vnitřní vápenocementová hladká</t>
  </si>
  <si>
    <t>14,4;viz odsekání kabřincového obkladu;</t>
  </si>
  <si>
    <t>Potažení vnitř. stěn sklotex. pletivem s vypnutím</t>
  </si>
  <si>
    <t>14,4;viz omítka stěn vnitřní;</t>
  </si>
  <si>
    <t>14,4*0,1;ztratné 10%;</t>
  </si>
  <si>
    <t>Hrubá výplň rýh ve stěnách do 10x10cm maltou</t>
  </si>
  <si>
    <t>42;viz potrubí;</t>
  </si>
  <si>
    <t>;pro SV, TV a cirkulaci bude provedena jedna rýha;</t>
  </si>
  <si>
    <t>Vnitřní kanalizace</t>
  </si>
  <si>
    <t>Demontáž vpusti</t>
  </si>
  <si>
    <t>1;umývárna 412;</t>
  </si>
  <si>
    <t>1;umývárna 413;</t>
  </si>
  <si>
    <t>1;umývárna 414;</t>
  </si>
  <si>
    <t>1;umývárna 415;</t>
  </si>
  <si>
    <t>1;umývárna 416;</t>
  </si>
  <si>
    <t>1;umývárna 417;</t>
  </si>
  <si>
    <t>1;umývárna 430;</t>
  </si>
  <si>
    <t>Vpusť podlahová se zápachovou uzávěrkou</t>
  </si>
  <si>
    <t>7;viz demontáž vpusti;</t>
  </si>
  <si>
    <t>Vnitřní vodovod</t>
  </si>
  <si>
    <t>Potrubí, studená DN20</t>
  </si>
  <si>
    <t>5;sociálka 412;</t>
  </si>
  <si>
    <t>5;sociálka 413;</t>
  </si>
  <si>
    <t>5;sociálka 414;</t>
  </si>
  <si>
    <t>5;sociálka 415;</t>
  </si>
  <si>
    <t>5;sociálka 416;</t>
  </si>
  <si>
    <t>5;sociálka 417;</t>
  </si>
  <si>
    <t>7;sociálka 419;</t>
  </si>
  <si>
    <t>5;sociálka 430;</t>
  </si>
  <si>
    <t>Potrubí, teplá DN20</t>
  </si>
  <si>
    <t>42;viz potrubí studené vody;</t>
  </si>
  <si>
    <t>Potrubí, cirkulace DN15</t>
  </si>
  <si>
    <t>Montáž izolačních skruží na potrubí přímé DN 25</t>
  </si>
  <si>
    <t>42;viz potrubí teplé vody;</t>
  </si>
  <si>
    <t>42;viz potrubí cirkulace;</t>
  </si>
  <si>
    <t>Izolace potrubí 20</t>
  </si>
  <si>
    <t>126;viz montáž skruží;</t>
  </si>
  <si>
    <t>Nástěnka pro připojení baterie</t>
  </si>
  <si>
    <t>15*2;viz baterie umyvadlová;</t>
  </si>
  <si>
    <t>7*2;viz baterie sprchová;</t>
  </si>
  <si>
    <t>1*2;viz baterie výlevková;</t>
  </si>
  <si>
    <t>2*2;viz baterie dřezová;</t>
  </si>
  <si>
    <t>Zkouška tlaku potrubí přírub.nebo hrdlového DN 100</t>
  </si>
  <si>
    <t>Proplach a dezinfekce vodovod.potrubí DN 80</t>
  </si>
  <si>
    <t>126;viz zkouška tlaku potrubí;</t>
  </si>
  <si>
    <t>Demontáž potrubí DN 20</t>
  </si>
  <si>
    <t>126;viz montáž;</t>
  </si>
  <si>
    <t>Zařizovací předměty</t>
  </si>
  <si>
    <t>Demontáž klozetů</t>
  </si>
  <si>
    <t>1;wc 412;</t>
  </si>
  <si>
    <t>1;wc 413;</t>
  </si>
  <si>
    <t>1;wc 414;</t>
  </si>
  <si>
    <t>1;wc 415;</t>
  </si>
  <si>
    <t>1;wc 416;</t>
  </si>
  <si>
    <t>1;wc 417;</t>
  </si>
  <si>
    <t>1;wc 419;</t>
  </si>
  <si>
    <t>1;wc 430;</t>
  </si>
  <si>
    <t>Montáž klozetových mís normálních</t>
  </si>
  <si>
    <t>8;viz demontáž klozetů;</t>
  </si>
  <si>
    <t>Klozet</t>
  </si>
  <si>
    <t>8;viz montáž klozetů;</t>
  </si>
  <si>
    <t>Sedátko klozetové</t>
  </si>
  <si>
    <t>8;viz klozet;</t>
  </si>
  <si>
    <t>Ventil rohový s přípoj. trubičky G 1/2</t>
  </si>
  <si>
    <t>Demontáž umyvadel</t>
  </si>
  <si>
    <t>2;umývárna 412;</t>
  </si>
  <si>
    <t>2;umývárna 413;</t>
  </si>
  <si>
    <t>2;umývárna 414;</t>
  </si>
  <si>
    <t>2;umývárna 415;</t>
  </si>
  <si>
    <t>2;umývárna 416;</t>
  </si>
  <si>
    <t>2;umývárna 417;</t>
  </si>
  <si>
    <t>1;předsíň 419;</t>
  </si>
  <si>
    <t>2;umývárna 430;</t>
  </si>
  <si>
    <t>Montáž umyvadel</t>
  </si>
  <si>
    <t>15;viz demontáž umyvadel;</t>
  </si>
  <si>
    <t>Umyvadlo</t>
  </si>
  <si>
    <t>15;viz montáž umyvadel;</t>
  </si>
  <si>
    <t>Sifon umyvadlový</t>
  </si>
  <si>
    <t>15;viz umyvadla;</t>
  </si>
  <si>
    <t>Uzávěrka zápachová umyvadlová</t>
  </si>
  <si>
    <t>Demontáž baterie</t>
  </si>
  <si>
    <t>Montáž baterie umyvadlové</t>
  </si>
  <si>
    <t>15;viz demontáž baterie umyvadlové;</t>
  </si>
  <si>
    <t>Baterie umyvadlová</t>
  </si>
  <si>
    <t>15;viz montáž baterie umyvadlové;</t>
  </si>
  <si>
    <t>Demontáž dřezů</t>
  </si>
  <si>
    <t>1;kuchyně 419;</t>
  </si>
  <si>
    <t>1;předsíň 430;</t>
  </si>
  <si>
    <t>Montáž dřezů</t>
  </si>
  <si>
    <t>2;viz demontáž dřezů;</t>
  </si>
  <si>
    <t>Dřez nerezový</t>
  </si>
  <si>
    <t>2;viz montáž dřezu;</t>
  </si>
  <si>
    <t>Sifon dřezový</t>
  </si>
  <si>
    <t>2;viz dřezy;</t>
  </si>
  <si>
    <t>Uzávěrka zápachová dřezová</t>
  </si>
  <si>
    <t>Demontáž baterie dřezové</t>
  </si>
  <si>
    <t>Montáž baterie dřezové</t>
  </si>
  <si>
    <t>2;viz demontáž baterie dřezové;</t>
  </si>
  <si>
    <t>Baterie dřezová</t>
  </si>
  <si>
    <t>2;viz montáž baterie dřezové;</t>
  </si>
  <si>
    <t>Demontáž výlevky</t>
  </si>
  <si>
    <t>1;úklid 419;</t>
  </si>
  <si>
    <t>Montáž výlevky</t>
  </si>
  <si>
    <t>1;viz demontáž výlevky;</t>
  </si>
  <si>
    <t>Výlevka</t>
  </si>
  <si>
    <t>1;viz montáž výlevky;</t>
  </si>
  <si>
    <t>Uzávěrka zápachová výlevková</t>
  </si>
  <si>
    <t>1;viz výlevka;</t>
  </si>
  <si>
    <t>Demontáž baterie výlevkové</t>
  </si>
  <si>
    <t>Montáž baterie výlevkové</t>
  </si>
  <si>
    <t>1;viz demontáž baterie výlevkové;</t>
  </si>
  <si>
    <t>Baterie pro výlevku</t>
  </si>
  <si>
    <t>1;viz montáž baterie pro výlevku;</t>
  </si>
  <si>
    <t>Demontáž sprchových koutů</t>
  </si>
  <si>
    <t>Montáž sprchových koutů včetně zástěny</t>
  </si>
  <si>
    <t>7;viz demontáž sprchových koutů;</t>
  </si>
  <si>
    <t>Kout sprchový se zástěnou</t>
  </si>
  <si>
    <t>7;viz montáž sprchových koutů;</t>
  </si>
  <si>
    <t>Koleno odtokové pro sprchové vaničky</t>
  </si>
  <si>
    <t>7;viz sprchy;</t>
  </si>
  <si>
    <t>Sifon ke sprchové vaničce</t>
  </si>
  <si>
    <t>Uzávěrka zápachová sprchová</t>
  </si>
  <si>
    <t>Demontáž baterie sprchové</t>
  </si>
  <si>
    <t>Demontáž ramene sprchy</t>
  </si>
  <si>
    <t>7;viz demontáž baterie sprchové;</t>
  </si>
  <si>
    <t>Montáž baterií sprchových</t>
  </si>
  <si>
    <t>Montáž držáku sprchy</t>
  </si>
  <si>
    <t>7;viz montáž baterie sprchové;</t>
  </si>
  <si>
    <t>Baterie sprchová</t>
  </si>
  <si>
    <t>Demontáž vybavení sociálního zařízení</t>
  </si>
  <si>
    <t>31;viz montáž;</t>
  </si>
  <si>
    <t>Montáž a osazení vybavení sociálního zařízení</t>
  </si>
  <si>
    <t>8;viz držák toaletního papíru;</t>
  </si>
  <si>
    <t>8;viz dávkovač;</t>
  </si>
  <si>
    <t>15;viz zrcadlo;</t>
  </si>
  <si>
    <t>29;viz háček;</t>
  </si>
  <si>
    <t>Držák toaletního papíru</t>
  </si>
  <si>
    <t>8;viz klozety;</t>
  </si>
  <si>
    <t>Dávkovač tekutého mýdla</t>
  </si>
  <si>
    <t>Kartáč WC</t>
  </si>
  <si>
    <t>Zrcadlo</t>
  </si>
  <si>
    <t>Háček</t>
  </si>
  <si>
    <t>4;umývárna 412;</t>
  </si>
  <si>
    <t>4;umývárna 413;</t>
  </si>
  <si>
    <t>4;umývárna 414;</t>
  </si>
  <si>
    <t>4;umývárna 415;</t>
  </si>
  <si>
    <t>4;umývárna 416;</t>
  </si>
  <si>
    <t>4;umývárna 417;</t>
  </si>
  <si>
    <t>4;umývárna 430;</t>
  </si>
  <si>
    <t>Odmontování krycích dvířek</t>
  </si>
  <si>
    <t>Osazení dvířek u sprchové vaničky</t>
  </si>
  <si>
    <t>7;viz odmontování dvířek;</t>
  </si>
  <si>
    <t>Dvířka u sprchové vaničky 300 x 300 mm</t>
  </si>
  <si>
    <t>7;viz osazení dvířek;</t>
  </si>
  <si>
    <t>Konstrukce truhlářské</t>
  </si>
  <si>
    <t>Demontáž prahů dveří 1křídlových</t>
  </si>
  <si>
    <t>1;sklad;</t>
  </si>
  <si>
    <t>5;412;</t>
  </si>
  <si>
    <t>5;413;</t>
  </si>
  <si>
    <t>5;414;</t>
  </si>
  <si>
    <t>5;415;</t>
  </si>
  <si>
    <t>5;416;</t>
  </si>
  <si>
    <t>5;417;</t>
  </si>
  <si>
    <t>1;418;</t>
  </si>
  <si>
    <t>5;419;</t>
  </si>
  <si>
    <t>5;430;</t>
  </si>
  <si>
    <t>Montáž prahů dveří jednokřídlových š. do 10 cm</t>
  </si>
  <si>
    <t>26;viz dodávka;</t>
  </si>
  <si>
    <t>Prah dubový délka 80 cm šířka 10 cm tl. 2 cm</t>
  </si>
  <si>
    <t>1+1+1;pokoj+pokoj+předsíň 412;</t>
  </si>
  <si>
    <t>1+1+1;pokoj+pokoj+předsíň 413;</t>
  </si>
  <si>
    <t>1+1+1;pokoj+pokoj+předsíň 414;</t>
  </si>
  <si>
    <t>1+1+1;pokoj+pokoj+předsíň 415;</t>
  </si>
  <si>
    <t>1+1+1;pokoj+pokoj+předsíň 416;</t>
  </si>
  <si>
    <t>1+1+1;pokoj+pokoj+předsíň 417;</t>
  </si>
  <si>
    <t>1+1+1;kuchyň+chodba+úklid 419;</t>
  </si>
  <si>
    <t>1+1+1;pokoj+pokoj+předsíň 430;</t>
  </si>
  <si>
    <t>Montáž dveří jednokřídlových šířky 60 cm</t>
  </si>
  <si>
    <t>1+1;wc+umývárna 412</t>
  </si>
  <si>
    <t>1+1;wc+umývárna 413;</t>
  </si>
  <si>
    <t>1+1;wc+umývárna 414;</t>
  </si>
  <si>
    <t>1+1;wc+umývárna 415;</t>
  </si>
  <si>
    <t>1+1;wc+umývárna 416;</t>
  </si>
  <si>
    <t>1+1;wc+umývárna 417;</t>
  </si>
  <si>
    <t>1+1;předsíň +wc 419;</t>
  </si>
  <si>
    <t>1+1;wc+umývárna 430;</t>
  </si>
  <si>
    <t>Dveře vnitřní fólie plné 1kř. 60x197</t>
  </si>
  <si>
    <t>16;viz montáž;</t>
  </si>
  <si>
    <t>Montáž dveří jednokřídlových šířky 80 cm</t>
  </si>
  <si>
    <t>26;viz prahy 80cm;</t>
  </si>
  <si>
    <t>Dveře vnitřní fólie plné 1kř. 80x197</t>
  </si>
  <si>
    <t>26;viz montáž;</t>
  </si>
  <si>
    <t>Montáž doplňků dveří</t>
  </si>
  <si>
    <t>16;viz dveře 60cm;</t>
  </si>
  <si>
    <t>26;viz dveře 80cm;</t>
  </si>
  <si>
    <t>Dveřní kování klika-klika včetně zámku</t>
  </si>
  <si>
    <t>42;viz montáž;</t>
  </si>
  <si>
    <t>Konstrukce doplňkové stavební (zámečnické)</t>
  </si>
  <si>
    <t>Montáž větracích mřížek</t>
  </si>
  <si>
    <t>1;viz mřížky 200x200mm;</t>
  </si>
  <si>
    <t>8;viz mřížky 300x300mm;</t>
  </si>
  <si>
    <t>Mřížka čtyřhranná vel. 200x200mm</t>
  </si>
  <si>
    <t>Mřížka čtyřhranná vel. 300x300mm</t>
  </si>
  <si>
    <t>1;wc 442;</t>
  </si>
  <si>
    <t>Demontáž mřížek</t>
  </si>
  <si>
    <t>9;viz montáž;</t>
  </si>
  <si>
    <t>Podlahy z dlaždic</t>
  </si>
  <si>
    <t>Vyrovnání podk.samoniv.hmotou</t>
  </si>
  <si>
    <t>42,40;viz odstranění keramické dlažby;</t>
  </si>
  <si>
    <t>42,4*0,05;ztratné 5%;</t>
  </si>
  <si>
    <t>Hydroizolační stěrka jednovrstvá</t>
  </si>
  <si>
    <t>42,40;viz vyrovnání podlahy;</t>
  </si>
  <si>
    <t>Stěrková hydroizolace</t>
  </si>
  <si>
    <t>42,40;viz provedení stěrky;</t>
  </si>
  <si>
    <t>42,4*0,1;ztratné 10%;</t>
  </si>
  <si>
    <t>Montáž podlah keram., tmel</t>
  </si>
  <si>
    <t>Dlažba dle výběru investora</t>
  </si>
  <si>
    <t>42,40;viz pokládka dlažby;</t>
  </si>
  <si>
    <t>42,4*0,05;ztratné 10%;</t>
  </si>
  <si>
    <t>Příplatek za spárování vodotěsnou hmotou - plošně</t>
  </si>
  <si>
    <t>Podlahy povlakové</t>
  </si>
  <si>
    <t>Odstranění PVC z ploch nad 20 m2</t>
  </si>
  <si>
    <t>44,3;chodba 2;</t>
  </si>
  <si>
    <t>80;418;</t>
  </si>
  <si>
    <t>Odstranění PVC z ploch 10 - 20 m2</t>
  </si>
  <si>
    <t>19,5;412A;</t>
  </si>
  <si>
    <t>18,3;412B;</t>
  </si>
  <si>
    <t>18,3;413A;</t>
  </si>
  <si>
    <t>19,5;413B;</t>
  </si>
  <si>
    <t>19,5;414A;</t>
  </si>
  <si>
    <t>18,3;414B;</t>
  </si>
  <si>
    <t>19,5;416A;</t>
  </si>
  <si>
    <t>18,3;415A;</t>
  </si>
  <si>
    <t>19,5;415B;</t>
  </si>
  <si>
    <t>13,6;430A;</t>
  </si>
  <si>
    <t>18,3;416B;</t>
  </si>
  <si>
    <t>18,3;417A;</t>
  </si>
  <si>
    <t>19,5;417B;</t>
  </si>
  <si>
    <t>16,80;419 kuchyně;</t>
  </si>
  <si>
    <t>12,4;430B;</t>
  </si>
  <si>
    <t>12,1;předsíň 430;</t>
  </si>
  <si>
    <t>Odstranění PVC z ploch do 10 m2</t>
  </si>
  <si>
    <t>8,15;chodba 1;</t>
  </si>
  <si>
    <t>10;chodba 3;</t>
  </si>
  <si>
    <t>4,5;sklad;</t>
  </si>
  <si>
    <t>9,6;předsíň 412;</t>
  </si>
  <si>
    <t>9,6;předsíň 413;</t>
  </si>
  <si>
    <t>9,60;předsíň 414;</t>
  </si>
  <si>
    <t>9,6;předsíň 415;</t>
  </si>
  <si>
    <t>3,55*2,7;předsíň 416;</t>
  </si>
  <si>
    <t>9,6;předsíň 417;</t>
  </si>
  <si>
    <t>5;419 chodba;</t>
  </si>
  <si>
    <t>Demontáž soklíků nebo lišt, pryžových nebo z PVC</t>
  </si>
  <si>
    <t>(3,875+2,1)*2-(1,75+2+0,8*2);chodba 1;</t>
  </si>
  <si>
    <t>21,1*2-0,8*8;chodba 2;</t>
  </si>
  <si>
    <t>(4,725+2,1)*2-(2,1+1,75);chodba 3;</t>
  </si>
  <si>
    <t>(1,7+2,6)*2-0,8;sklad;</t>
  </si>
  <si>
    <t>(6,8+3,5)*2-0,8;412A;</t>
  </si>
  <si>
    <t>(6,8+2,95)*2-0,8;412B;</t>
  </si>
  <si>
    <t>(3,55+2,7)*2-(0,8*3+0,6);předsíň 412;</t>
  </si>
  <si>
    <t>(6,8+2,95)*2-0,8;413A;</t>
  </si>
  <si>
    <t>(6,8+3,5)*2-0,8;413B;</t>
  </si>
  <si>
    <t>(3,55+2,7)*2-(0,8*3+0,6);předsíň 413;</t>
  </si>
  <si>
    <t>19,8+18,7+9,5;414;</t>
  </si>
  <si>
    <t>19,8+18,7+9,5;415;</t>
  </si>
  <si>
    <t>19,8+18,7+9,5;416;</t>
  </si>
  <si>
    <t>19,8+18,7+9,5;417;</t>
  </si>
  <si>
    <t>(8,65+9,6)*2+0,5*4-0,8;418;</t>
  </si>
  <si>
    <t>(5,9+3,6)*2-0,8;419 kuchyně;</t>
  </si>
  <si>
    <t>(3,6+1,4)*2-0,8*3;419 chodba;</t>
  </si>
  <si>
    <t>(2,45+4,6)*2-0,8;430A;</t>
  </si>
  <si>
    <t>(2,9+4,6)*2-0,8;430B;</t>
  </si>
  <si>
    <t>(5,95+4,05)*2-(0,8*3+0,6*2);předsíň 430;</t>
  </si>
  <si>
    <t>Vyrovnání podkladů samonivelační hmotou včetně dodávky</t>
  </si>
  <si>
    <t>124,3+281,7+85,235;viz demontáž;</t>
  </si>
  <si>
    <t>Provedení penetrace podkladu</t>
  </si>
  <si>
    <t>491,235;viz vyrovnání podkladu;</t>
  </si>
  <si>
    <t>Podlaha povlaková z PVC pásů, soklík - pouze položení, podlahovina ve specifikaci</t>
  </si>
  <si>
    <t>Podlahovina PVC - třída reakce na oheň C fl</t>
  </si>
  <si>
    <t>491,235;viz pokládka;</t>
  </si>
  <si>
    <t>-4,5;sklad;</t>
  </si>
  <si>
    <t>-80;418;</t>
  </si>
  <si>
    <t>-16,8;419 kuchyň;</t>
  </si>
  <si>
    <t>-5;chodba;</t>
  </si>
  <si>
    <t>384,935*0,03;ztratné 3%;</t>
  </si>
  <si>
    <t>Podlahovina PVC</t>
  </si>
  <si>
    <t>16,8;419 kuchyň;</t>
  </si>
  <si>
    <t>5;chodba;</t>
  </si>
  <si>
    <t>106,3*0,03;ztratné 3%;</t>
  </si>
  <si>
    <t>Soklík profil z měkčeného PVC</t>
  </si>
  <si>
    <t>455,4;viz demontáž;</t>
  </si>
  <si>
    <t>455,4*0,02;ztratné 2%;</t>
  </si>
  <si>
    <t>Montáž přechodové, podlahové lišty samolepicí</t>
  </si>
  <si>
    <t>0,6*2;wc+umývárna 412</t>
  </si>
  <si>
    <t>0,6*2;wc+umývárna 413;</t>
  </si>
  <si>
    <t>0,6*2;wc+umývárna 414;</t>
  </si>
  <si>
    <t>0,6*2;wc+umývárna 415;</t>
  </si>
  <si>
    <t>0,6*2;wc+umývárna 416;</t>
  </si>
  <si>
    <t>0,6*2;wc+umývárna 417;</t>
  </si>
  <si>
    <t>0,6+0,8;předsíň + úklid 419;</t>
  </si>
  <si>
    <t>0,6*2;wc+umývárna 430;</t>
  </si>
  <si>
    <t>Lišta přechodová Al lepicí l=93 cm</t>
  </si>
  <si>
    <t>2;wc+umývárna 412</t>
  </si>
  <si>
    <t>2;wc+umývárna 413;</t>
  </si>
  <si>
    <t>2;wc+umývárna 414;</t>
  </si>
  <si>
    <t>2;wc+umývárna 415;</t>
  </si>
  <si>
    <t>2;wc+umývárna 416;</t>
  </si>
  <si>
    <t>2;wc+umývárna 417;</t>
  </si>
  <si>
    <t>2;předsíň + úklid 419;</t>
  </si>
  <si>
    <t>2;wc+umývárna 430;</t>
  </si>
  <si>
    <t>Obklady (keramické)</t>
  </si>
  <si>
    <t>Montáž obkladů stěn</t>
  </si>
  <si>
    <t>Obklad interiérový dle výběru investora</t>
  </si>
  <si>
    <t>212,065;montáž obkladů;</t>
  </si>
  <si>
    <t>212,065*0,05;ztratné 5%;</t>
  </si>
  <si>
    <t>Penetrace podkladu pod obklady</t>
  </si>
  <si>
    <t>Hydroizolační stěrka v místě obkladu u sprch</t>
  </si>
  <si>
    <t>(0,8+0,9+1,75+0,2)*2,5;umývárna 412;</t>
  </si>
  <si>
    <t>9,125;umývárna 413;</t>
  </si>
  <si>
    <t>9,125;umývárna 414;</t>
  </si>
  <si>
    <t>9,125;umývárna 415;</t>
  </si>
  <si>
    <t>9,125;umývárna 416;</t>
  </si>
  <si>
    <t>9,125;umývárna 417;</t>
  </si>
  <si>
    <t>(0,75+0,85+1,65)*2,5;umývárna 430;</t>
  </si>
  <si>
    <t>62,875*0,1;ztratné 10%;</t>
  </si>
  <si>
    <t>Montáž lišt k obkladům</t>
  </si>
  <si>
    <t>2,5*6+4*1,8;umývárna 412;</t>
  </si>
  <si>
    <t>1,8*4;wc 412;</t>
  </si>
  <si>
    <t>22,2+7,2;umývárna+wc 413;</t>
  </si>
  <si>
    <t>22,2+7,2;umývárna+wc 414;</t>
  </si>
  <si>
    <t>22,2+7,2;umývárna+wc 415;</t>
  </si>
  <si>
    <t>22,2+7,2;umývárna+wc 416;</t>
  </si>
  <si>
    <t>22,2+7,2;umývárna+wc 417;</t>
  </si>
  <si>
    <t>(1,8*4+1,8*4+1,8*4);předsíň+wc+úklid 419;</t>
  </si>
  <si>
    <t>22,2+7,2;umývárna+wc 430;</t>
  </si>
  <si>
    <t>Lišta k obkadům</t>
  </si>
  <si>
    <t>227,4;viz montáž lišt;</t>
  </si>
  <si>
    <t>227,4*0,05;ztratné 5%;</t>
  </si>
  <si>
    <t>Nátěry</t>
  </si>
  <si>
    <t>Nátěr kovových doplňkových konstrukcí syntetický dvojnásobný krycí s 1x emailováním - zárubně</t>
  </si>
  <si>
    <t>(2*2+0,8)*(0,1+2*0,05)*26;viz dveře 80cm;</t>
  </si>
  <si>
    <t>(2*2+0,6)*(0,1+2*0,05)*16;viz dveře 60cm;</t>
  </si>
  <si>
    <t>Nátěr kovových doplňkových konstrukcí syntetický dvojnásobný krycí s 1x emailováním - radiátory</t>
  </si>
  <si>
    <t>2+2+1,5;pokoje+umývárna 412</t>
  </si>
  <si>
    <t>2+2+1,5;pokoje+umývárna 413;</t>
  </si>
  <si>
    <t>2+2+1,5;pokoje+umývárna 414;</t>
  </si>
  <si>
    <t>2+2+1,5;pokoje+umývárna 415;</t>
  </si>
  <si>
    <t>2+2+1,5;pokoje+umývárna 416;</t>
  </si>
  <si>
    <t>2+2+1,5;pokoje+umývárna 417;</t>
  </si>
  <si>
    <t>6;418;</t>
  </si>
  <si>
    <t>2;419;</t>
  </si>
  <si>
    <t>2+2+1,5;pokoje+umývárna 430;</t>
  </si>
  <si>
    <t>Nátěr kovových doplňkových konstrukcí syntetický dvojnásobný krycí s 1x emailováním - ocel.kce, dveře</t>
  </si>
  <si>
    <t>2*2,2;chodba 1 - dveře;</t>
  </si>
  <si>
    <t>2+2*2,2*2;chodba 2 - ocelový rám výplně+dveře;</t>
  </si>
  <si>
    <t>2*2,2;chodba 3 - dveře;</t>
  </si>
  <si>
    <t>2+2;pokoje 412;</t>
  </si>
  <si>
    <t>2+2;pokoje 413;</t>
  </si>
  <si>
    <t>2+2;pokoje 414;</t>
  </si>
  <si>
    <t>2+2;pokoje 415;</t>
  </si>
  <si>
    <t>2+2;pokoje 416;</t>
  </si>
  <si>
    <t>2+2;pokoje 417;</t>
  </si>
  <si>
    <t>6+2;418;</t>
  </si>
  <si>
    <t>2+2;pokoje 430;</t>
  </si>
  <si>
    <t>Malby</t>
  </si>
  <si>
    <t>Odstranění stávajících maleb oškrábáním</t>
  </si>
  <si>
    <t>(3,875*2+2,1)*2,3-(1,75*2,1+0,8*2*2);chodba 1;</t>
  </si>
  <si>
    <t>21,11*2*2,3-0,8*2*8;chodba 2;</t>
  </si>
  <si>
    <t>(4,725*2+2,1)*2,3-1,75*2,1;chodba 3;</t>
  </si>
  <si>
    <t>(1,7+2,6)*2*2,5-0,8*2+4,5;sklad;</t>
  </si>
  <si>
    <t>(3,5+6,8)*2*2,5-(0,8*2+2,4*1,6)+18,3+(2,4+1,6*2)*0,3;412A;</t>
  </si>
  <si>
    <t>(2,95+6,8)*2*2,5-(0,8*2+2,4*1,6)+18,3+(2,4+1,6*2)*0,3;412B;</t>
  </si>
  <si>
    <t>(3,55+2,7)*2*2,5-(0,8*2*2+0,6*2*2)+9,6;předsíň;</t>
  </si>
  <si>
    <t>(1,5+0,85)*2*(2,5-1,25)-0,6*(2-1,25)+1,3;wc;</t>
  </si>
  <si>
    <t>(2,25+1,75)*2*2,5-(2,25+1,75+0,9)*1,5-(1,75+0,9*2)*2,5+3,7;umývárna;</t>
  </si>
  <si>
    <t>63,29;413A;</t>
  </si>
  <si>
    <t>67,24;413B;</t>
  </si>
  <si>
    <t>35,25;předsíň;</t>
  </si>
  <si>
    <t>6,725;wc;</t>
  </si>
  <si>
    <t>7,475;umývárna;</t>
  </si>
  <si>
    <t>67,24;414A;</t>
  </si>
  <si>
    <t>63,29;414B;</t>
  </si>
  <si>
    <t>63,29;415A;</t>
  </si>
  <si>
    <t>67,24;415B;</t>
  </si>
  <si>
    <t>67,24;416A;</t>
  </si>
  <si>
    <t>63,29;416B;</t>
  </si>
  <si>
    <t>63,29;417A;</t>
  </si>
  <si>
    <t>67,24;417B;</t>
  </si>
  <si>
    <t>(8,65+9,6)*2*2,5+0,5*4*2,5-(0,8*2+2,4*1,6*3)+80+(2,4+1,6*2)*0,3*3;418;</t>
  </si>
  <si>
    <t>(5,9+3,6)*2*2,5-(0,8*2+2,4*1,6)+16,8+(2,4+1,6*2)*0,3;419 kuchyně;</t>
  </si>
  <si>
    <t>(1,4+3,6)*2*2,5-0,8*2*3+5;chodba;</t>
  </si>
  <si>
    <t>(1,15+2,2)*2*2,5-0,6*2-(1,15+2,2+0,8)*1,5-0,6*0,5+2,65;předsíň;</t>
  </si>
  <si>
    <t>(1+1,4)*2*(2,5-1,4)-0,6*0,6+1,3;wc;</t>
  </si>
  <si>
    <t>(1,85+1,3)*2*2,5-0,8*2-(1,85+1,3)*1,4+2,9;úklid;</t>
  </si>
  <si>
    <t>(2,4+4,6)*2*2,5-(0,8*2+1,5*1,6+0,9*2,4)+13,6+(2,4*3)*0,3;430A;</t>
  </si>
  <si>
    <t>(2,9+4,6)*2*2,5-(0,8*2+1,5*1,6+0,9*2,4)+12,4+(2,4*3)*0,3;430B;</t>
  </si>
  <si>
    <t>(5,95+4,05)*2*2,5-(0,8*2*3+0,6*2*2)+12,10;předsíň;</t>
  </si>
  <si>
    <t>(1,7+0,85)*2*(2,5-1,25)-0,6*0,75+1,35;wc;</t>
  </si>
  <si>
    <t>(2,5+1,65)*2*2,5-(2,5+1,65+1,55+0,8)*1,5-(0,95+1,65)*2,5+4,2;umývárna;</t>
  </si>
  <si>
    <t>Malba klihová 2x,1barva, pačok 2x, místn. do 3,8 m včetně lokální vysprávky</t>
  </si>
  <si>
    <t>1680,576;viz odstranění malby;</t>
  </si>
  <si>
    <t>179,555;viz odstranění obkladů;</t>
  </si>
  <si>
    <t>-212,065;viz nové obklady;</t>
  </si>
  <si>
    <t>Lešení a stavební výtahy</t>
  </si>
  <si>
    <t>Lešení lehké pomocné, výška podlahy do 1,2 m</t>
  </si>
  <si>
    <t>471,20;viz výmalba strop;</t>
  </si>
  <si>
    <t>8,15+44,35+10;viz chodba 1 až 3;</t>
  </si>
  <si>
    <t>Různé dokončovací konstrukce a práce na pozemních stavbách</t>
  </si>
  <si>
    <t>Vyčištění budov o výšce podlaží do 4 m</t>
  </si>
  <si>
    <t>533,7;viz lešení;</t>
  </si>
  <si>
    <t>Bourání konstrukcí</t>
  </si>
  <si>
    <t>Bourání dlaždic keramických</t>
  </si>
  <si>
    <t>3,7+1,3;umývárna+wc 412;</t>
  </si>
  <si>
    <t>3,7+1,3;umývárna+wc 413;</t>
  </si>
  <si>
    <t>3,7+1,3;umývárna+wc 414;</t>
  </si>
  <si>
    <t>3,7+1,3;umývárna+wc 415;</t>
  </si>
  <si>
    <t>3,7+1,3;umývárna+wc 416;</t>
  </si>
  <si>
    <t>3,7+1,3;umývárna+wc 417;</t>
  </si>
  <si>
    <t>2,65+1,3+2,9;předsíň+wc+úklid 419;</t>
  </si>
  <si>
    <t>4,2+1,35;umývárna+wc 430;</t>
  </si>
  <si>
    <t>Prorážení otvorů a ostatní bourací práce</t>
  </si>
  <si>
    <t>Vyvěšení dřevěných dveřních křídel pl. do 2 m2</t>
  </si>
  <si>
    <t>Odsekání vnitřních obkladů stěn - kabřinec</t>
  </si>
  <si>
    <t>2,1*0,5;chodba 3;</t>
  </si>
  <si>
    <t>2,1*0,5;chodba 1;</t>
  </si>
  <si>
    <t>1,2*2;předsíň 412;</t>
  </si>
  <si>
    <t>1,2*2;předsíň 413;</t>
  </si>
  <si>
    <t>1,2*2;předsíň 414;</t>
  </si>
  <si>
    <t>1,2*2;předsíň 415;</t>
  </si>
  <si>
    <t>1,2*2;předsíň 416;</t>
  </si>
  <si>
    <t>1,2*2;předsíň 417;</t>
  </si>
  <si>
    <t>Odsekání vnitřních obkladů stěn - keramický obklad</t>
  </si>
  <si>
    <t>(1,2+1,75+2,05+0,8)*1,5+(0,8+0,9+1,75+0,2)*2,5-0,6*1,5;umývárna 412;</t>
  </si>
  <si>
    <t>(1,5+0,85)*2*1,25-0,6*1,25;wc 412;</t>
  </si>
  <si>
    <t>16,925+5,125;umývárna a wc 414;</t>
  </si>
  <si>
    <t>16,925+5,125;umývárna a wc 416;</t>
  </si>
  <si>
    <t>16,925+5,125;umývárna a wc 417;</t>
  </si>
  <si>
    <t>(1,15+2,2)*2*1,5-0,6*1,5*2;předsíň 419;</t>
  </si>
  <si>
    <t>(1+1,4)*2*1,4-0,6*1,4;wc 419;</t>
  </si>
  <si>
    <t>(1,85+1,3)*2*1,3-0,8*1,3;úklid 419;</t>
  </si>
  <si>
    <t>(1,7+0,85)*2*1,25-0,6*1,25;wc 430;</t>
  </si>
  <si>
    <t>(2,5+1,65+1,55+0,85)*1,5+(0,75+0,85+1,65)*2,5-0,6*1,5;umývárna 430;</t>
  </si>
  <si>
    <t>16,925+5,125;umývárna a wc 413;</t>
  </si>
  <si>
    <t>Vysekání rýh ve zdi cihelné 10 x 10 cm</t>
  </si>
  <si>
    <t>Demontáž garnýží</t>
  </si>
  <si>
    <t>3;418;</t>
  </si>
  <si>
    <t>Ostatní přesuny hmot</t>
  </si>
  <si>
    <t>Přesun hmot pro opravy a údržbu do výšky 6 m</t>
  </si>
  <si>
    <t>26,29434;viz hmotnost;</t>
  </si>
  <si>
    <t>Přesuny sutí</t>
  </si>
  <si>
    <t>Vnitrostaveništní doprava suti</t>
  </si>
  <si>
    <t>17,60913;viz hmotnost;</t>
  </si>
  <si>
    <t>Nakládání vybouraných hmot na dopravní prostředky</t>
  </si>
  <si>
    <t>Odvoz suti a vybour. hmot na skládku do 1 km</t>
  </si>
  <si>
    <t>Příplatek k odvozu za každý další 1 km</t>
  </si>
  <si>
    <t>17,60913*14;viz hmotnost - odvoz do 15km;</t>
  </si>
  <si>
    <t>Poplatek za skladku</t>
  </si>
  <si>
    <t>Doba výstavby:</t>
  </si>
  <si>
    <t>Začátek výstavby:</t>
  </si>
  <si>
    <t>Konec výstavby:</t>
  </si>
  <si>
    <t>Zpracováno dne:</t>
  </si>
  <si>
    <t>M.j.</t>
  </si>
  <si>
    <t>kus</t>
  </si>
  <si>
    <t>m2</t>
  </si>
  <si>
    <t>m</t>
  </si>
  <si>
    <t>soubor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</si>
  <si>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</si>
  <si>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</si>
  <si>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</si>
  <si>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</si>
  <si>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</si>
  <si>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</si>
  <si>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</si>
  <si>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</si>
  <si>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</si>
  <si>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</si>
  <si>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</si>
  <si>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</si>
  <si>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Střední škola technická Most</t>
  </si>
  <si>
    <t>CHEMINVEST s.r.o.</t>
  </si>
  <si>
    <t>Dle výběrového řízení</t>
  </si>
  <si>
    <t>Kamila Možná</t>
  </si>
  <si>
    <t>Celkem</t>
  </si>
  <si>
    <t>Hmotnost (t)</t>
  </si>
  <si>
    <t>Cenová</t>
  </si>
  <si>
    <t>soustava</t>
  </si>
  <si>
    <t>RTS I / 2016</t>
  </si>
  <si>
    <t>RTS II / 2015</t>
  </si>
  <si>
    <t>0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</si>
  <si>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</si>
  <si>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</si>
  <si>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</si>
  <si>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</si>
  <si>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</si>
  <si>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</si>
  <si>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</si>
  <si>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</si>
  <si>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</si>
  <si>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</si>
  <si>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</si>
  <si>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21_</t>
  </si>
  <si>
    <t>31_</t>
  </si>
  <si>
    <t>6_</t>
  </si>
  <si>
    <t>61_</t>
  </si>
  <si>
    <t>721_</t>
  </si>
  <si>
    <t>722_</t>
  </si>
  <si>
    <t>725_</t>
  </si>
  <si>
    <t>766_</t>
  </si>
  <si>
    <t>767_</t>
  </si>
  <si>
    <t>771_</t>
  </si>
  <si>
    <t>776_</t>
  </si>
  <si>
    <t>781_</t>
  </si>
  <si>
    <t>783_</t>
  </si>
  <si>
    <t>784_</t>
  </si>
  <si>
    <t>94_</t>
  </si>
  <si>
    <t>95_</t>
  </si>
  <si>
    <t>96_</t>
  </si>
  <si>
    <t>97_</t>
  </si>
  <si>
    <t>H99_</t>
  </si>
  <si>
    <t>S_</t>
  </si>
  <si>
    <t>2_</t>
  </si>
  <si>
    <t>3_</t>
  </si>
  <si>
    <t>72_</t>
  </si>
  <si>
    <t>76_</t>
  </si>
  <si>
    <t>77_</t>
  </si>
  <si>
    <t>78_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</si>
  <si>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</si>
  <si>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</si>
  <si>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</si>
  <si>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</si>
  <si>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</si>
  <si>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</si>
  <si>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</si>
  <si>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</si>
  <si>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</si>
  <si>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</si>
  <si>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</si>
  <si>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</si>
  <si>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</si>
  <si>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</si>
  <si>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</si>
  <si>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</si>
  <si>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</si>
  <si>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</si>
  <si>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</si>
  <si>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</si>
  <si>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</si>
  <si>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</si>
  <si>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</si>
  <si>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</si>
  <si>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</si>
  <si>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</si>
  <si>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</si>
  <si>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</si>
  <si>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</si>
  <si>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</si>
  <si>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</si>
  <si>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</si>
  <si>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</si>
  <si>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</si>
  <si>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</si>
  <si>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</si>
  <si>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</si>
  <si>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</si>
  <si>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</si>
  <si>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</si>
  <si>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</si>
  <si>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</si>
  <si>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</si>
  <si>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</si>
  <si>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</si>
  <si>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</si>
  <si>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</si>
  <si>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</si>
  <si>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</si>
  <si>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</si>
  <si>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</si>
  <si>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</si>
  <si>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01. 07. 2016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</si>
</sst>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11" fillId="34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6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49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5"/>
  <sheetViews>
    <sheetView tabSelected="1" zoomScalePageLayoutView="0" workbookViewId="0" topLeftCell="A1">
      <selection activeCell="G6" sqref="G6:H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1.42187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2.75">
      <c r="A2" s="88" t="s">
        <v>1</v>
      </c>
      <c r="B2" s="89"/>
      <c r="C2" s="89"/>
      <c r="D2" s="90" t="s">
        <v>285</v>
      </c>
      <c r="E2" s="92" t="s">
        <v>800</v>
      </c>
      <c r="F2" s="89"/>
      <c r="G2" s="92"/>
      <c r="H2" s="89"/>
      <c r="I2" s="93" t="s">
        <v>816</v>
      </c>
      <c r="J2" s="93" t="s">
        <v>821</v>
      </c>
      <c r="K2" s="89"/>
      <c r="L2" s="89"/>
      <c r="M2" s="94"/>
      <c r="N2" s="34"/>
    </row>
    <row r="3" spans="1:14" ht="12.75">
      <c r="A3" s="85"/>
      <c r="B3" s="72"/>
      <c r="C3" s="72"/>
      <c r="D3" s="91"/>
      <c r="E3" s="72"/>
      <c r="F3" s="72"/>
      <c r="G3" s="72"/>
      <c r="H3" s="72"/>
      <c r="I3" s="72"/>
      <c r="J3" s="72"/>
      <c r="K3" s="72"/>
      <c r="L3" s="72"/>
      <c r="M3" s="83"/>
      <c r="N3" s="34"/>
    </row>
    <row r="4" spans="1:14" ht="12.75">
      <c r="A4" s="78" t="s">
        <v>2</v>
      </c>
      <c r="B4" s="72"/>
      <c r="C4" s="72"/>
      <c r="D4" s="71" t="s">
        <v>286</v>
      </c>
      <c r="E4" s="81" t="s">
        <v>801</v>
      </c>
      <c r="F4" s="72"/>
      <c r="G4" s="81" t="s">
        <v>921</v>
      </c>
      <c r="H4" s="72"/>
      <c r="I4" s="71" t="s">
        <v>817</v>
      </c>
      <c r="J4" s="71" t="s">
        <v>822</v>
      </c>
      <c r="K4" s="72"/>
      <c r="L4" s="72"/>
      <c r="M4" s="83"/>
      <c r="N4" s="34"/>
    </row>
    <row r="5" spans="1:14" ht="12.75">
      <c r="A5" s="8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83"/>
      <c r="N5" s="34"/>
    </row>
    <row r="6" spans="1:14" ht="12.75">
      <c r="A6" s="78" t="s">
        <v>3</v>
      </c>
      <c r="B6" s="72"/>
      <c r="C6" s="72"/>
      <c r="D6" s="71" t="s">
        <v>287</v>
      </c>
      <c r="E6" s="81" t="s">
        <v>802</v>
      </c>
      <c r="F6" s="72"/>
      <c r="G6" s="82">
        <v>42613</v>
      </c>
      <c r="H6" s="72"/>
      <c r="I6" s="71" t="s">
        <v>818</v>
      </c>
      <c r="J6" s="71" t="s">
        <v>823</v>
      </c>
      <c r="K6" s="72"/>
      <c r="L6" s="72"/>
      <c r="M6" s="83"/>
      <c r="N6" s="34"/>
    </row>
    <row r="7" spans="1:14" ht="12.75">
      <c r="A7" s="85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83"/>
      <c r="N7" s="34"/>
    </row>
    <row r="8" spans="1:14" ht="12.75">
      <c r="A8" s="78" t="s">
        <v>4</v>
      </c>
      <c r="B8" s="72"/>
      <c r="C8" s="72"/>
      <c r="D8" s="71"/>
      <c r="E8" s="81" t="s">
        <v>803</v>
      </c>
      <c r="F8" s="72"/>
      <c r="G8" s="82">
        <v>42501</v>
      </c>
      <c r="H8" s="72"/>
      <c r="I8" s="71" t="s">
        <v>819</v>
      </c>
      <c r="J8" s="71" t="s">
        <v>824</v>
      </c>
      <c r="K8" s="72"/>
      <c r="L8" s="72"/>
      <c r="M8" s="83"/>
      <c r="N8" s="34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4"/>
      <c r="N9" s="34"/>
    </row>
    <row r="10" spans="1:14" ht="12.75">
      <c r="A10" s="1" t="s">
        <v>5</v>
      </c>
      <c r="B10" s="10" t="s">
        <v>144</v>
      </c>
      <c r="C10" s="10" t="s">
        <v>145</v>
      </c>
      <c r="D10" s="10" t="s">
        <v>288</v>
      </c>
      <c r="E10" s="10" t="s">
        <v>804</v>
      </c>
      <c r="F10" s="18" t="s">
        <v>810</v>
      </c>
      <c r="G10" s="23" t="s">
        <v>811</v>
      </c>
      <c r="H10" s="73" t="s">
        <v>813</v>
      </c>
      <c r="I10" s="74"/>
      <c r="J10" s="75"/>
      <c r="K10" s="73" t="s">
        <v>826</v>
      </c>
      <c r="L10" s="75"/>
      <c r="M10" s="30" t="s">
        <v>827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4" t="s">
        <v>289</v>
      </c>
      <c r="E11" s="11" t="s">
        <v>6</v>
      </c>
      <c r="F11" s="11" t="s">
        <v>6</v>
      </c>
      <c r="G11" s="24" t="s">
        <v>812</v>
      </c>
      <c r="H11" s="25" t="s">
        <v>814</v>
      </c>
      <c r="I11" s="26" t="s">
        <v>820</v>
      </c>
      <c r="J11" s="27" t="s">
        <v>825</v>
      </c>
      <c r="K11" s="25" t="s">
        <v>811</v>
      </c>
      <c r="L11" s="27" t="s">
        <v>825</v>
      </c>
      <c r="M11" s="31" t="s">
        <v>828</v>
      </c>
      <c r="N11" s="35"/>
      <c r="P11" s="29" t="s">
        <v>832</v>
      </c>
      <c r="Q11" s="29" t="s">
        <v>833</v>
      </c>
      <c r="R11" s="29" t="s">
        <v>836</v>
      </c>
      <c r="S11" s="29" t="s">
        <v>837</v>
      </c>
      <c r="T11" s="29" t="s">
        <v>838</v>
      </c>
      <c r="U11" s="29" t="s">
        <v>839</v>
      </c>
      <c r="V11" s="29" t="s">
        <v>840</v>
      </c>
      <c r="W11" s="29" t="s">
        <v>841</v>
      </c>
      <c r="X11" s="29" t="s">
        <v>842</v>
      </c>
    </row>
    <row r="12" spans="1:37" ht="12.75">
      <c r="A12" s="3"/>
      <c r="B12" s="12"/>
      <c r="C12" s="12" t="s">
        <v>27</v>
      </c>
      <c r="D12" s="76" t="s">
        <v>290</v>
      </c>
      <c r="E12" s="77"/>
      <c r="F12" s="77"/>
      <c r="G12" s="77"/>
      <c r="H12" s="38">
        <f>SUM(H13:H42)</f>
        <v>0</v>
      </c>
      <c r="I12" s="38">
        <f>SUM(I13:I42)</f>
        <v>0</v>
      </c>
      <c r="J12" s="38">
        <f>H12+I12</f>
        <v>0</v>
      </c>
      <c r="K12" s="28"/>
      <c r="L12" s="38">
        <f>SUM(L13:L42)</f>
        <v>0.20412</v>
      </c>
      <c r="M12" s="28"/>
      <c r="P12" s="39">
        <f>IF(Q12="PR",J12,SUM(O13:O42))</f>
        <v>0</v>
      </c>
      <c r="Q12" s="29" t="s">
        <v>834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9"/>
      <c r="AI12" s="39">
        <f>SUM(Z13:Z42)</f>
        <v>0</v>
      </c>
      <c r="AJ12" s="39">
        <f>SUM(AA13:AA42)</f>
        <v>0</v>
      </c>
      <c r="AK12" s="39">
        <f>SUM(AB13:AB42)</f>
        <v>0</v>
      </c>
    </row>
    <row r="13" spans="1:43" ht="12.75">
      <c r="A13" s="4" t="s">
        <v>7</v>
      </c>
      <c r="B13" s="4"/>
      <c r="C13" s="4" t="s">
        <v>146</v>
      </c>
      <c r="D13" s="4" t="s">
        <v>291</v>
      </c>
      <c r="E13" s="4" t="s">
        <v>805</v>
      </c>
      <c r="F13" s="19">
        <v>74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</v>
      </c>
      <c r="L13" s="19">
        <f>F13*K13</f>
        <v>0</v>
      </c>
      <c r="M13" s="32"/>
      <c r="N13" s="32" t="s">
        <v>7</v>
      </c>
      <c r="O13" s="19">
        <f>IF(N13="5",I13,0)</f>
        <v>0</v>
      </c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843</v>
      </c>
      <c r="AP13" s="37" t="s">
        <v>863</v>
      </c>
      <c r="AQ13" s="29" t="s">
        <v>870</v>
      </c>
    </row>
    <row r="14" spans="4:6" ht="12.75">
      <c r="D14" s="15" t="s">
        <v>292</v>
      </c>
      <c r="F14" s="20">
        <v>74</v>
      </c>
    </row>
    <row r="15" spans="1:43" ht="12.75">
      <c r="A15" s="4" t="s">
        <v>8</v>
      </c>
      <c r="B15" s="4"/>
      <c r="C15" s="4" t="s">
        <v>147</v>
      </c>
      <c r="D15" s="4" t="s">
        <v>293</v>
      </c>
      <c r="E15" s="4" t="s">
        <v>805</v>
      </c>
      <c r="F15" s="19">
        <v>73</v>
      </c>
      <c r="G15" s="19">
        <v>0</v>
      </c>
      <c r="H15" s="19">
        <f>F15*AE15</f>
        <v>0</v>
      </c>
      <c r="I15" s="19">
        <f>J15-H15</f>
        <v>0</v>
      </c>
      <c r="J15" s="19">
        <f>F15*G15</f>
        <v>0</v>
      </c>
      <c r="K15" s="19">
        <v>0</v>
      </c>
      <c r="L15" s="19">
        <f>F15*K15</f>
        <v>0</v>
      </c>
      <c r="M15" s="32"/>
      <c r="N15" s="32" t="s">
        <v>7</v>
      </c>
      <c r="O15" s="19">
        <f>IF(N15="5",I15,0)</f>
        <v>0</v>
      </c>
      <c r="Z15" s="19">
        <f>IF(AD15=0,J15,0)</f>
        <v>0</v>
      </c>
      <c r="AA15" s="19">
        <f>IF(AD15=15,J15,0)</f>
        <v>0</v>
      </c>
      <c r="AB15" s="19">
        <f>IF(AD15=21,J15,0)</f>
        <v>0</v>
      </c>
      <c r="AD15" s="36">
        <v>21</v>
      </c>
      <c r="AE15" s="36">
        <f>G15*1</f>
        <v>0</v>
      </c>
      <c r="AF15" s="36">
        <f>G15*(1-1)</f>
        <v>0</v>
      </c>
      <c r="AM15" s="36">
        <f>F15*AE15</f>
        <v>0</v>
      </c>
      <c r="AN15" s="36">
        <f>F15*AF15</f>
        <v>0</v>
      </c>
      <c r="AO15" s="37" t="s">
        <v>843</v>
      </c>
      <c r="AP15" s="37" t="s">
        <v>863</v>
      </c>
      <c r="AQ15" s="29" t="s">
        <v>870</v>
      </c>
    </row>
    <row r="16" spans="4:6" ht="12.75">
      <c r="D16" s="15" t="s">
        <v>294</v>
      </c>
      <c r="F16" s="20">
        <v>73</v>
      </c>
    </row>
    <row r="17" spans="1:43" ht="12.75">
      <c r="A17" s="4" t="s">
        <v>9</v>
      </c>
      <c r="B17" s="4"/>
      <c r="C17" s="4" t="s">
        <v>148</v>
      </c>
      <c r="D17" s="4" t="s">
        <v>295</v>
      </c>
      <c r="E17" s="4" t="s">
        <v>805</v>
      </c>
      <c r="F17" s="19">
        <v>1</v>
      </c>
      <c r="G17" s="19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</v>
      </c>
      <c r="L17" s="19">
        <f>F17*K17</f>
        <v>0</v>
      </c>
      <c r="M17" s="32"/>
      <c r="N17" s="32" t="s">
        <v>7</v>
      </c>
      <c r="O17" s="19">
        <f>IF(N17="5",I17,0)</f>
        <v>0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6">
        <v>21</v>
      </c>
      <c r="AE17" s="36">
        <f>G17*0.514285714285714</f>
        <v>0</v>
      </c>
      <c r="AF17" s="36">
        <f>G17*(1-0.514285714285714)</f>
        <v>0</v>
      </c>
      <c r="AM17" s="36">
        <f>F17*AE17</f>
        <v>0</v>
      </c>
      <c r="AN17" s="36">
        <f>F17*AF17</f>
        <v>0</v>
      </c>
      <c r="AO17" s="37" t="s">
        <v>843</v>
      </c>
      <c r="AP17" s="37" t="s">
        <v>863</v>
      </c>
      <c r="AQ17" s="29" t="s">
        <v>870</v>
      </c>
    </row>
    <row r="18" spans="4:6" ht="12.75">
      <c r="D18" s="15" t="s">
        <v>296</v>
      </c>
      <c r="F18" s="20">
        <v>1</v>
      </c>
    </row>
    <row r="19" spans="1:43" ht="12.75">
      <c r="A19" s="4" t="s">
        <v>10</v>
      </c>
      <c r="B19" s="4"/>
      <c r="C19" s="4" t="s">
        <v>149</v>
      </c>
      <c r="D19" s="4" t="s">
        <v>297</v>
      </c>
      <c r="E19" s="4" t="s">
        <v>805</v>
      </c>
      <c r="F19" s="19">
        <v>115</v>
      </c>
      <c r="G19" s="19">
        <v>0</v>
      </c>
      <c r="H19" s="19">
        <f>F19*AE19</f>
        <v>0</v>
      </c>
      <c r="I19" s="19">
        <f>J19-H19</f>
        <v>0</v>
      </c>
      <c r="J19" s="19">
        <f>F19*G19</f>
        <v>0</v>
      </c>
      <c r="K19" s="19">
        <v>0</v>
      </c>
      <c r="L19" s="19">
        <f>F19*K19</f>
        <v>0</v>
      </c>
      <c r="M19" s="32"/>
      <c r="N19" s="32" t="s">
        <v>7</v>
      </c>
      <c r="O19" s="19">
        <f>IF(N19="5",I19,0)</f>
        <v>0</v>
      </c>
      <c r="Z19" s="19">
        <f>IF(AD19=0,J19,0)</f>
        <v>0</v>
      </c>
      <c r="AA19" s="19">
        <f>IF(AD19=15,J19,0)</f>
        <v>0</v>
      </c>
      <c r="AB19" s="19">
        <f>IF(AD19=21,J19,0)</f>
        <v>0</v>
      </c>
      <c r="AD19" s="36">
        <v>21</v>
      </c>
      <c r="AE19" s="36">
        <f>G19*0</f>
        <v>0</v>
      </c>
      <c r="AF19" s="36">
        <f>G19*(1-0)</f>
        <v>0</v>
      </c>
      <c r="AM19" s="36">
        <f>F19*AE19</f>
        <v>0</v>
      </c>
      <c r="AN19" s="36">
        <f>F19*AF19</f>
        <v>0</v>
      </c>
      <c r="AO19" s="37" t="s">
        <v>843</v>
      </c>
      <c r="AP19" s="37" t="s">
        <v>863</v>
      </c>
      <c r="AQ19" s="29" t="s">
        <v>870</v>
      </c>
    </row>
    <row r="20" spans="4:6" ht="12.75">
      <c r="D20" s="15" t="s">
        <v>298</v>
      </c>
      <c r="F20" s="20">
        <v>115</v>
      </c>
    </row>
    <row r="21" spans="1:43" ht="12.75">
      <c r="A21" s="4" t="s">
        <v>11</v>
      </c>
      <c r="B21" s="4"/>
      <c r="C21" s="4" t="s">
        <v>150</v>
      </c>
      <c r="D21" s="4" t="s">
        <v>299</v>
      </c>
      <c r="E21" s="4" t="s">
        <v>805</v>
      </c>
      <c r="F21" s="19">
        <v>113</v>
      </c>
      <c r="G21" s="19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</v>
      </c>
      <c r="L21" s="19">
        <f>F21*K21</f>
        <v>0</v>
      </c>
      <c r="M21" s="32"/>
      <c r="N21" s="32" t="s">
        <v>7</v>
      </c>
      <c r="O21" s="19">
        <f>IF(N21="5",I21,0)</f>
        <v>0</v>
      </c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36">
        <v>21</v>
      </c>
      <c r="AE21" s="36">
        <f>G21*1</f>
        <v>0</v>
      </c>
      <c r="AF21" s="36">
        <f>G21*(1-1)</f>
        <v>0</v>
      </c>
      <c r="AM21" s="36">
        <f>F21*AE21</f>
        <v>0</v>
      </c>
      <c r="AN21" s="36">
        <f>F21*AF21</f>
        <v>0</v>
      </c>
      <c r="AO21" s="37" t="s">
        <v>843</v>
      </c>
      <c r="AP21" s="37" t="s">
        <v>863</v>
      </c>
      <c r="AQ21" s="29" t="s">
        <v>870</v>
      </c>
    </row>
    <row r="22" spans="4:6" ht="12.75">
      <c r="D22" s="15" t="s">
        <v>300</v>
      </c>
      <c r="F22" s="20">
        <v>113</v>
      </c>
    </row>
    <row r="23" spans="1:43" ht="12.75">
      <c r="A23" s="4" t="s">
        <v>12</v>
      </c>
      <c r="B23" s="4"/>
      <c r="C23" s="4" t="s">
        <v>151</v>
      </c>
      <c r="D23" s="4" t="s">
        <v>301</v>
      </c>
      <c r="E23" s="4" t="s">
        <v>805</v>
      </c>
      <c r="F23" s="19">
        <v>2</v>
      </c>
      <c r="G23" s="19">
        <v>0</v>
      </c>
      <c r="H23" s="19">
        <f>F23*AE23</f>
        <v>0</v>
      </c>
      <c r="I23" s="19">
        <f>J23-H23</f>
        <v>0</v>
      </c>
      <c r="J23" s="19">
        <f>F23*G23</f>
        <v>0</v>
      </c>
      <c r="K23" s="19">
        <v>0</v>
      </c>
      <c r="L23" s="19">
        <f>F23*K23</f>
        <v>0</v>
      </c>
      <c r="M23" s="32"/>
      <c r="N23" s="32" t="s">
        <v>7</v>
      </c>
      <c r="O23" s="19">
        <f>IF(N23="5",I23,0)</f>
        <v>0</v>
      </c>
      <c r="Z23" s="19">
        <f>IF(AD23=0,J23,0)</f>
        <v>0</v>
      </c>
      <c r="AA23" s="19">
        <f>IF(AD23=15,J23,0)</f>
        <v>0</v>
      </c>
      <c r="AB23" s="19">
        <f>IF(AD23=21,J23,0)</f>
        <v>0</v>
      </c>
      <c r="AD23" s="36">
        <v>21</v>
      </c>
      <c r="AE23" s="36">
        <f>G23*1</f>
        <v>0</v>
      </c>
      <c r="AF23" s="36">
        <f>G23*(1-1)</f>
        <v>0</v>
      </c>
      <c r="AM23" s="36">
        <f>F23*AE23</f>
        <v>0</v>
      </c>
      <c r="AN23" s="36">
        <f>F23*AF23</f>
        <v>0</v>
      </c>
      <c r="AO23" s="37" t="s">
        <v>843</v>
      </c>
      <c r="AP23" s="37" t="s">
        <v>863</v>
      </c>
      <c r="AQ23" s="29" t="s">
        <v>870</v>
      </c>
    </row>
    <row r="24" spans="4:6" ht="12.75">
      <c r="D24" s="15" t="s">
        <v>302</v>
      </c>
      <c r="F24" s="20">
        <v>2</v>
      </c>
    </row>
    <row r="25" spans="1:43" ht="12.75">
      <c r="A25" s="4" t="s">
        <v>13</v>
      </c>
      <c r="B25" s="4"/>
      <c r="C25" s="4" t="s">
        <v>152</v>
      </c>
      <c r="D25" s="4" t="s">
        <v>303</v>
      </c>
      <c r="E25" s="4" t="s">
        <v>805</v>
      </c>
      <c r="F25" s="19">
        <v>93</v>
      </c>
      <c r="G25" s="19">
        <v>0</v>
      </c>
      <c r="H25" s="19">
        <f>F25*AE25</f>
        <v>0</v>
      </c>
      <c r="I25" s="19">
        <f>J25-H25</f>
        <v>0</v>
      </c>
      <c r="J25" s="19">
        <f>F25*G25</f>
        <v>0</v>
      </c>
      <c r="K25" s="19">
        <v>0</v>
      </c>
      <c r="L25" s="19">
        <f>F25*K25</f>
        <v>0</v>
      </c>
      <c r="M25" s="32"/>
      <c r="N25" s="32" t="s">
        <v>7</v>
      </c>
      <c r="O25" s="19">
        <f>IF(N25="5",I25,0)</f>
        <v>0</v>
      </c>
      <c r="Z25" s="19">
        <f>IF(AD25=0,J25,0)</f>
        <v>0</v>
      </c>
      <c r="AA25" s="19">
        <f>IF(AD25=15,J25,0)</f>
        <v>0</v>
      </c>
      <c r="AB25" s="19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M25" s="36">
        <f>F25*AE25</f>
        <v>0</v>
      </c>
      <c r="AN25" s="36">
        <f>F25*AF25</f>
        <v>0</v>
      </c>
      <c r="AO25" s="37" t="s">
        <v>843</v>
      </c>
      <c r="AP25" s="37" t="s">
        <v>863</v>
      </c>
      <c r="AQ25" s="29" t="s">
        <v>870</v>
      </c>
    </row>
    <row r="26" spans="4:6" ht="12.75">
      <c r="D26" s="15" t="s">
        <v>304</v>
      </c>
      <c r="F26" s="20">
        <v>55</v>
      </c>
    </row>
    <row r="27" spans="4:6" ht="12.75">
      <c r="D27" s="15" t="s">
        <v>305</v>
      </c>
      <c r="F27" s="20">
        <v>38</v>
      </c>
    </row>
    <row r="28" spans="4:6" ht="12.75">
      <c r="D28" s="15" t="s">
        <v>306</v>
      </c>
      <c r="F28" s="20">
        <v>0</v>
      </c>
    </row>
    <row r="29" spans="1:43" ht="12.75">
      <c r="A29" s="4" t="s">
        <v>14</v>
      </c>
      <c r="B29" s="4"/>
      <c r="C29" s="4" t="s">
        <v>153</v>
      </c>
      <c r="D29" s="4" t="s">
        <v>307</v>
      </c>
      <c r="E29" s="4" t="s">
        <v>805</v>
      </c>
      <c r="F29" s="19">
        <v>55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</v>
      </c>
      <c r="L29" s="19">
        <f>F29*K29</f>
        <v>0</v>
      </c>
      <c r="M29" s="32"/>
      <c r="N29" s="32" t="s">
        <v>7</v>
      </c>
      <c r="O29" s="19">
        <f>IF(N29="5",I29,0)</f>
        <v>0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6">
        <v>21</v>
      </c>
      <c r="AE29" s="36">
        <f>G29*1</f>
        <v>0</v>
      </c>
      <c r="AF29" s="36">
        <f>G29*(1-1)</f>
        <v>0</v>
      </c>
      <c r="AM29" s="36">
        <f>F29*AE29</f>
        <v>0</v>
      </c>
      <c r="AN29" s="36">
        <f>F29*AF29</f>
        <v>0</v>
      </c>
      <c r="AO29" s="37" t="s">
        <v>843</v>
      </c>
      <c r="AP29" s="37" t="s">
        <v>863</v>
      </c>
      <c r="AQ29" s="29" t="s">
        <v>870</v>
      </c>
    </row>
    <row r="30" spans="4:6" ht="12.75">
      <c r="D30" s="15" t="s">
        <v>308</v>
      </c>
      <c r="F30" s="20">
        <v>55</v>
      </c>
    </row>
    <row r="31" spans="1:43" ht="12.75">
      <c r="A31" s="4" t="s">
        <v>15</v>
      </c>
      <c r="B31" s="4"/>
      <c r="C31" s="4" t="s">
        <v>154</v>
      </c>
      <c r="D31" s="4" t="s">
        <v>309</v>
      </c>
      <c r="E31" s="4" t="s">
        <v>805</v>
      </c>
      <c r="F31" s="19">
        <v>38</v>
      </c>
      <c r="G31" s="19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</v>
      </c>
      <c r="L31" s="19">
        <f>F31*K31</f>
        <v>0</v>
      </c>
      <c r="M31" s="32"/>
      <c r="N31" s="32" t="s">
        <v>7</v>
      </c>
      <c r="O31" s="19">
        <f>IF(N31="5",I31,0)</f>
        <v>0</v>
      </c>
      <c r="Z31" s="19">
        <f>IF(AD31=0,J31,0)</f>
        <v>0</v>
      </c>
      <c r="AA31" s="19">
        <f>IF(AD31=15,J31,0)</f>
        <v>0</v>
      </c>
      <c r="AB31" s="19">
        <f>IF(AD31=21,J31,0)</f>
        <v>0</v>
      </c>
      <c r="AD31" s="36">
        <v>21</v>
      </c>
      <c r="AE31" s="36">
        <f>G31*1</f>
        <v>0</v>
      </c>
      <c r="AF31" s="36">
        <f>G31*(1-1)</f>
        <v>0</v>
      </c>
      <c r="AM31" s="36">
        <f>F31*AE31</f>
        <v>0</v>
      </c>
      <c r="AN31" s="36">
        <f>F31*AF31</f>
        <v>0</v>
      </c>
      <c r="AO31" s="37" t="s">
        <v>843</v>
      </c>
      <c r="AP31" s="37" t="s">
        <v>863</v>
      </c>
      <c r="AQ31" s="29" t="s">
        <v>870</v>
      </c>
    </row>
    <row r="32" spans="4:6" ht="12.75">
      <c r="D32" s="15" t="s">
        <v>310</v>
      </c>
      <c r="F32" s="20">
        <v>38</v>
      </c>
    </row>
    <row r="33" spans="1:43" ht="12.75">
      <c r="A33" s="4" t="s">
        <v>16</v>
      </c>
      <c r="B33" s="4"/>
      <c r="C33" s="4" t="s">
        <v>155</v>
      </c>
      <c r="D33" s="4" t="s">
        <v>311</v>
      </c>
      <c r="E33" s="4" t="s">
        <v>805</v>
      </c>
      <c r="F33" s="19">
        <v>189</v>
      </c>
      <c r="G33" s="19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</v>
      </c>
      <c r="L33" s="19">
        <f>F33*K33</f>
        <v>0</v>
      </c>
      <c r="M33" s="32"/>
      <c r="N33" s="32" t="s">
        <v>7</v>
      </c>
      <c r="O33" s="19">
        <f>IF(N33="5",I33,0)</f>
        <v>0</v>
      </c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6">
        <v>21</v>
      </c>
      <c r="AE33" s="36">
        <f>G33*0</f>
        <v>0</v>
      </c>
      <c r="AF33" s="36">
        <f>G33*(1-0)</f>
        <v>0</v>
      </c>
      <c r="AM33" s="36">
        <f>F33*AE33</f>
        <v>0</v>
      </c>
      <c r="AN33" s="36">
        <f>F33*AF33</f>
        <v>0</v>
      </c>
      <c r="AO33" s="37" t="s">
        <v>843</v>
      </c>
      <c r="AP33" s="37" t="s">
        <v>863</v>
      </c>
      <c r="AQ33" s="29" t="s">
        <v>870</v>
      </c>
    </row>
    <row r="34" spans="4:6" ht="12.75">
      <c r="D34" s="15" t="s">
        <v>312</v>
      </c>
      <c r="F34" s="20">
        <v>74</v>
      </c>
    </row>
    <row r="35" spans="4:6" ht="12.75">
      <c r="D35" s="15" t="s">
        <v>313</v>
      </c>
      <c r="F35" s="20">
        <v>115</v>
      </c>
    </row>
    <row r="36" spans="1:43" ht="12.75">
      <c r="A36" s="4" t="s">
        <v>17</v>
      </c>
      <c r="B36" s="4"/>
      <c r="C36" s="4" t="s">
        <v>156</v>
      </c>
      <c r="D36" s="4" t="s">
        <v>314</v>
      </c>
      <c r="E36" s="4" t="s">
        <v>805</v>
      </c>
      <c r="F36" s="19">
        <v>189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0.00108</v>
      </c>
      <c r="L36" s="19">
        <f>F36*K36</f>
        <v>0.20412</v>
      </c>
      <c r="M36" s="32" t="s">
        <v>829</v>
      </c>
      <c r="N36" s="32" t="s">
        <v>7</v>
      </c>
      <c r="O36" s="19">
        <f>IF(N36="5",I36,0)</f>
        <v>0</v>
      </c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6">
        <v>21</v>
      </c>
      <c r="AE36" s="36">
        <f>G36*0.0524</f>
        <v>0</v>
      </c>
      <c r="AF36" s="36">
        <f>G36*(1-0.0524)</f>
        <v>0</v>
      </c>
      <c r="AM36" s="36">
        <f>F36*AE36</f>
        <v>0</v>
      </c>
      <c r="AN36" s="36">
        <f>F36*AF36</f>
        <v>0</v>
      </c>
      <c r="AO36" s="37" t="s">
        <v>843</v>
      </c>
      <c r="AP36" s="37" t="s">
        <v>863</v>
      </c>
      <c r="AQ36" s="29" t="s">
        <v>870</v>
      </c>
    </row>
    <row r="37" spans="4:6" ht="12.75">
      <c r="D37" s="15" t="s">
        <v>315</v>
      </c>
      <c r="F37" s="20">
        <v>189</v>
      </c>
    </row>
    <row r="38" spans="1:43" ht="12.75">
      <c r="A38" s="4" t="s">
        <v>18</v>
      </c>
      <c r="B38" s="4"/>
      <c r="C38" s="4" t="s">
        <v>157</v>
      </c>
      <c r="D38" s="4" t="s">
        <v>316</v>
      </c>
      <c r="E38" s="4" t="s">
        <v>805</v>
      </c>
      <c r="F38" s="19">
        <v>97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</v>
      </c>
      <c r="L38" s="19">
        <f>F38*K38</f>
        <v>0</v>
      </c>
      <c r="M38" s="32"/>
      <c r="N38" s="32" t="s">
        <v>7</v>
      </c>
      <c r="O38" s="19">
        <f>IF(N38="5",I38,0)</f>
        <v>0</v>
      </c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6">
        <v>21</v>
      </c>
      <c r="AE38" s="36">
        <f>G38*0</f>
        <v>0</v>
      </c>
      <c r="AF38" s="36">
        <f>G38*(1-0)</f>
        <v>0</v>
      </c>
      <c r="AM38" s="36">
        <f>F38*AE38</f>
        <v>0</v>
      </c>
      <c r="AN38" s="36">
        <f>F38*AF38</f>
        <v>0</v>
      </c>
      <c r="AO38" s="37" t="s">
        <v>843</v>
      </c>
      <c r="AP38" s="37" t="s">
        <v>863</v>
      </c>
      <c r="AQ38" s="29" t="s">
        <v>870</v>
      </c>
    </row>
    <row r="39" spans="4:6" ht="12.75">
      <c r="D39" s="15" t="s">
        <v>317</v>
      </c>
      <c r="F39" s="20">
        <v>97</v>
      </c>
    </row>
    <row r="40" spans="1:43" ht="12.75">
      <c r="A40" s="4" t="s">
        <v>19</v>
      </c>
      <c r="B40" s="4"/>
      <c r="C40" s="4" t="s">
        <v>158</v>
      </c>
      <c r="D40" s="4" t="s">
        <v>318</v>
      </c>
      <c r="E40" s="4"/>
      <c r="F40" s="19">
        <v>4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</v>
      </c>
      <c r="L40" s="19">
        <f>F40*K40</f>
        <v>0</v>
      </c>
      <c r="M40" s="32"/>
      <c r="N40" s="32" t="s">
        <v>7</v>
      </c>
      <c r="O40" s="19">
        <f>IF(N40="5",I40,0)</f>
        <v>0</v>
      </c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M40" s="36">
        <f>F40*AE40</f>
        <v>0</v>
      </c>
      <c r="AN40" s="36">
        <f>F40*AF40</f>
        <v>0</v>
      </c>
      <c r="AO40" s="37" t="s">
        <v>843</v>
      </c>
      <c r="AP40" s="37" t="s">
        <v>863</v>
      </c>
      <c r="AQ40" s="29" t="s">
        <v>870</v>
      </c>
    </row>
    <row r="41" spans="4:6" ht="12.75">
      <c r="D41" s="15" t="s">
        <v>319</v>
      </c>
      <c r="F41" s="20">
        <v>4</v>
      </c>
    </row>
    <row r="42" spans="1:43" ht="12.75">
      <c r="A42" s="4" t="s">
        <v>20</v>
      </c>
      <c r="B42" s="4"/>
      <c r="C42" s="4" t="s">
        <v>159</v>
      </c>
      <c r="D42" s="4" t="s">
        <v>320</v>
      </c>
      <c r="E42" s="4" t="s">
        <v>805</v>
      </c>
      <c r="F42" s="19">
        <v>4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0</v>
      </c>
      <c r="L42" s="19">
        <f>F42*K42</f>
        <v>0</v>
      </c>
      <c r="M42" s="32"/>
      <c r="N42" s="32" t="s">
        <v>7</v>
      </c>
      <c r="O42" s="19">
        <f>IF(N42="5",I42,0)</f>
        <v>0</v>
      </c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6">
        <v>21</v>
      </c>
      <c r="AE42" s="36">
        <f>G42*1</f>
        <v>0</v>
      </c>
      <c r="AF42" s="36">
        <f>G42*(1-1)</f>
        <v>0</v>
      </c>
      <c r="AM42" s="36">
        <f>F42*AE42</f>
        <v>0</v>
      </c>
      <c r="AN42" s="36">
        <f>F42*AF42</f>
        <v>0</v>
      </c>
      <c r="AO42" s="37" t="s">
        <v>843</v>
      </c>
      <c r="AP42" s="37" t="s">
        <v>863</v>
      </c>
      <c r="AQ42" s="29" t="s">
        <v>870</v>
      </c>
    </row>
    <row r="43" spans="4:6" ht="12.75">
      <c r="D43" s="15" t="s">
        <v>319</v>
      </c>
      <c r="F43" s="20">
        <v>4</v>
      </c>
    </row>
    <row r="44" spans="1:37" ht="12.75">
      <c r="A44" s="5"/>
      <c r="B44" s="13"/>
      <c r="C44" s="13" t="s">
        <v>37</v>
      </c>
      <c r="D44" s="67" t="s">
        <v>321</v>
      </c>
      <c r="E44" s="68"/>
      <c r="F44" s="68"/>
      <c r="G44" s="68"/>
      <c r="H44" s="39">
        <f>SUM(H45:H45)</f>
        <v>0</v>
      </c>
      <c r="I44" s="39">
        <f>SUM(I45:I45)</f>
        <v>0</v>
      </c>
      <c r="J44" s="39">
        <f>H44+I44</f>
        <v>0</v>
      </c>
      <c r="K44" s="29"/>
      <c r="L44" s="39">
        <f>SUM(L45:L45)</f>
        <v>8.61004355</v>
      </c>
      <c r="M44" s="29"/>
      <c r="P44" s="39">
        <f>IF(Q44="PR",J44,SUM(O45:O45))</f>
        <v>0</v>
      </c>
      <c r="Q44" s="29" t="s">
        <v>834</v>
      </c>
      <c r="R44" s="39">
        <f>IF(Q44="HS",H44,0)</f>
        <v>0</v>
      </c>
      <c r="S44" s="39">
        <f>IF(Q44="HS",I44-P44,0)</f>
        <v>0</v>
      </c>
      <c r="T44" s="39">
        <f>IF(Q44="PS",H44,0)</f>
        <v>0</v>
      </c>
      <c r="U44" s="39">
        <f>IF(Q44="PS",I44-P44,0)</f>
        <v>0</v>
      </c>
      <c r="V44" s="39">
        <f>IF(Q44="MP",H44,0)</f>
        <v>0</v>
      </c>
      <c r="W44" s="39">
        <f>IF(Q44="MP",I44-P44,0)</f>
        <v>0</v>
      </c>
      <c r="X44" s="39">
        <f>IF(Q44="OM",H44,0)</f>
        <v>0</v>
      </c>
      <c r="Y44" s="29"/>
      <c r="AI44" s="39">
        <f>SUM(Z45:Z45)</f>
        <v>0</v>
      </c>
      <c r="AJ44" s="39">
        <f>SUM(AA45:AA45)</f>
        <v>0</v>
      </c>
      <c r="AK44" s="39">
        <f>SUM(AB45:AB45)</f>
        <v>0</v>
      </c>
    </row>
    <row r="45" spans="1:43" ht="12.75">
      <c r="A45" s="4" t="s">
        <v>21</v>
      </c>
      <c r="B45" s="4"/>
      <c r="C45" s="4" t="s">
        <v>160</v>
      </c>
      <c r="D45" s="4" t="s">
        <v>322</v>
      </c>
      <c r="E45" s="4" t="s">
        <v>806</v>
      </c>
      <c r="F45" s="19">
        <v>228.565</v>
      </c>
      <c r="G45" s="19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0.03767</v>
      </c>
      <c r="L45" s="19">
        <f>F45*K45</f>
        <v>8.61004355</v>
      </c>
      <c r="M45" s="32" t="s">
        <v>829</v>
      </c>
      <c r="N45" s="32" t="s">
        <v>7</v>
      </c>
      <c r="O45" s="19">
        <f>IF(N45="5",I45,0)</f>
        <v>0</v>
      </c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6">
        <v>21</v>
      </c>
      <c r="AE45" s="36">
        <f>G45*0.251270358306189</f>
        <v>0</v>
      </c>
      <c r="AF45" s="36">
        <f>G45*(1-0.251270358306189)</f>
        <v>0</v>
      </c>
      <c r="AM45" s="36">
        <f>F45*AE45</f>
        <v>0</v>
      </c>
      <c r="AN45" s="36">
        <f>F45*AF45</f>
        <v>0</v>
      </c>
      <c r="AO45" s="37" t="s">
        <v>844</v>
      </c>
      <c r="AP45" s="37" t="s">
        <v>864</v>
      </c>
      <c r="AQ45" s="29" t="s">
        <v>870</v>
      </c>
    </row>
    <row r="46" spans="4:6" ht="12.75">
      <c r="D46" s="15" t="s">
        <v>323</v>
      </c>
      <c r="F46" s="20">
        <v>16.5</v>
      </c>
    </row>
    <row r="47" spans="4:6" ht="12.75">
      <c r="D47" s="15" t="s">
        <v>324</v>
      </c>
      <c r="F47" s="20">
        <v>18.365</v>
      </c>
    </row>
    <row r="48" spans="4:6" ht="12.75">
      <c r="D48" s="15" t="s">
        <v>325</v>
      </c>
      <c r="F48" s="20">
        <v>7.38</v>
      </c>
    </row>
    <row r="49" spans="4:6" ht="12.75">
      <c r="D49" s="15" t="s">
        <v>326</v>
      </c>
      <c r="F49" s="20">
        <v>25.745</v>
      </c>
    </row>
    <row r="50" spans="4:6" ht="12.75">
      <c r="D50" s="15" t="s">
        <v>327</v>
      </c>
      <c r="F50" s="20">
        <v>25.745</v>
      </c>
    </row>
    <row r="51" spans="4:6" ht="12.75">
      <c r="D51" s="15" t="s">
        <v>327</v>
      </c>
      <c r="F51" s="20">
        <v>25.745</v>
      </c>
    </row>
    <row r="52" spans="4:6" ht="12.75">
      <c r="D52" s="15" t="s">
        <v>328</v>
      </c>
      <c r="F52" s="20">
        <v>25.745</v>
      </c>
    </row>
    <row r="53" spans="4:6" ht="12.75">
      <c r="D53" s="15" t="s">
        <v>329</v>
      </c>
      <c r="F53" s="20">
        <v>25.745</v>
      </c>
    </row>
    <row r="54" spans="4:6" ht="12.75">
      <c r="D54" s="15" t="s">
        <v>330</v>
      </c>
      <c r="F54" s="20">
        <v>3.3</v>
      </c>
    </row>
    <row r="55" spans="4:6" ht="12.75">
      <c r="D55" s="15" t="s">
        <v>331</v>
      </c>
      <c r="F55" s="20">
        <v>9.9</v>
      </c>
    </row>
    <row r="56" spans="4:6" ht="12.75">
      <c r="D56" s="15" t="s">
        <v>332</v>
      </c>
      <c r="F56" s="20">
        <v>7.56</v>
      </c>
    </row>
    <row r="57" spans="4:6" ht="12.75">
      <c r="D57" s="15" t="s">
        <v>333</v>
      </c>
      <c r="F57" s="20">
        <v>9.9</v>
      </c>
    </row>
    <row r="58" spans="4:6" ht="12.75">
      <c r="D58" s="15" t="s">
        <v>334</v>
      </c>
      <c r="F58" s="20">
        <v>8.1</v>
      </c>
    </row>
    <row r="59" spans="4:6" ht="12.75">
      <c r="D59" s="15" t="s">
        <v>335</v>
      </c>
      <c r="F59" s="20">
        <v>18.835</v>
      </c>
    </row>
    <row r="60" spans="1:37" ht="12.75">
      <c r="A60" s="5"/>
      <c r="B60" s="13"/>
      <c r="C60" s="13" t="s">
        <v>12</v>
      </c>
      <c r="D60" s="67" t="s">
        <v>336</v>
      </c>
      <c r="E60" s="68"/>
      <c r="F60" s="68"/>
      <c r="G60" s="68"/>
      <c r="H60" s="39">
        <f>SUM(H61:H61)</f>
        <v>0</v>
      </c>
      <c r="I60" s="39">
        <f>SUM(I61:I61)</f>
        <v>0</v>
      </c>
      <c r="J60" s="39">
        <f>H60+I60</f>
        <v>0</v>
      </c>
      <c r="K60" s="29"/>
      <c r="L60" s="39">
        <f>SUM(L61:L61)</f>
        <v>4.662726</v>
      </c>
      <c r="M60" s="29"/>
      <c r="P60" s="39">
        <f>IF(Q60="PR",J60,SUM(O61:O61))</f>
        <v>0</v>
      </c>
      <c r="Q60" s="29" t="s">
        <v>834</v>
      </c>
      <c r="R60" s="39">
        <f>IF(Q60="HS",H60,0)</f>
        <v>0</v>
      </c>
      <c r="S60" s="39">
        <f>IF(Q60="HS",I60-P60,0)</f>
        <v>0</v>
      </c>
      <c r="T60" s="39">
        <f>IF(Q60="PS",H60,0)</f>
        <v>0</v>
      </c>
      <c r="U60" s="39">
        <f>IF(Q60="PS",I60-P60,0)</f>
        <v>0</v>
      </c>
      <c r="V60" s="39">
        <f>IF(Q60="MP",H60,0)</f>
        <v>0</v>
      </c>
      <c r="W60" s="39">
        <f>IF(Q60="MP",I60-P60,0)</f>
        <v>0</v>
      </c>
      <c r="X60" s="39">
        <f>IF(Q60="OM",H60,0)</f>
        <v>0</v>
      </c>
      <c r="Y60" s="29"/>
      <c r="AI60" s="39">
        <f>SUM(Z61:Z61)</f>
        <v>0</v>
      </c>
      <c r="AJ60" s="39">
        <f>SUM(AA61:AA61)</f>
        <v>0</v>
      </c>
      <c r="AK60" s="39">
        <f>SUM(AB61:AB61)</f>
        <v>0</v>
      </c>
    </row>
    <row r="61" spans="1:43" ht="12.75">
      <c r="A61" s="4" t="s">
        <v>22</v>
      </c>
      <c r="B61" s="4"/>
      <c r="C61" s="4" t="s">
        <v>161</v>
      </c>
      <c r="D61" s="4" t="s">
        <v>337</v>
      </c>
      <c r="E61" s="4" t="s">
        <v>806</v>
      </c>
      <c r="F61" s="19">
        <v>228.565</v>
      </c>
      <c r="G61" s="19">
        <v>0</v>
      </c>
      <c r="H61" s="19">
        <f>F61*AE61</f>
        <v>0</v>
      </c>
      <c r="I61" s="19">
        <f>J61-H61</f>
        <v>0</v>
      </c>
      <c r="J61" s="19">
        <f>F61*G61</f>
        <v>0</v>
      </c>
      <c r="K61" s="19">
        <v>0.0204</v>
      </c>
      <c r="L61" s="19">
        <f>F61*K61</f>
        <v>4.662726</v>
      </c>
      <c r="M61" s="32" t="s">
        <v>829</v>
      </c>
      <c r="N61" s="32" t="s">
        <v>7</v>
      </c>
      <c r="O61" s="19">
        <f>IF(N61="5",I61,0)</f>
        <v>0</v>
      </c>
      <c r="Z61" s="19">
        <f>IF(AD61=0,J61,0)</f>
        <v>0</v>
      </c>
      <c r="AA61" s="19">
        <f>IF(AD61=15,J61,0)</f>
        <v>0</v>
      </c>
      <c r="AB61" s="19">
        <f>IF(AD61=21,J61,0)</f>
        <v>0</v>
      </c>
      <c r="AD61" s="36">
        <v>21</v>
      </c>
      <c r="AE61" s="36">
        <f>G61*0.337783375314861</f>
        <v>0</v>
      </c>
      <c r="AF61" s="36">
        <f>G61*(1-0.337783375314861)</f>
        <v>0</v>
      </c>
      <c r="AM61" s="36">
        <f>F61*AE61</f>
        <v>0</v>
      </c>
      <c r="AN61" s="36">
        <f>F61*AF61</f>
        <v>0</v>
      </c>
      <c r="AO61" s="37" t="s">
        <v>845</v>
      </c>
      <c r="AP61" s="37" t="s">
        <v>845</v>
      </c>
      <c r="AQ61" s="29" t="s">
        <v>870</v>
      </c>
    </row>
    <row r="62" spans="4:6" ht="12.75">
      <c r="D62" s="15" t="s">
        <v>338</v>
      </c>
      <c r="F62" s="20">
        <v>228.565</v>
      </c>
    </row>
    <row r="63" spans="1:37" ht="12.75">
      <c r="A63" s="5"/>
      <c r="B63" s="13"/>
      <c r="C63" s="13" t="s">
        <v>67</v>
      </c>
      <c r="D63" s="67" t="s">
        <v>339</v>
      </c>
      <c r="E63" s="68"/>
      <c r="F63" s="68"/>
      <c r="G63" s="68"/>
      <c r="H63" s="39">
        <f>SUM(H64:H72)</f>
        <v>0</v>
      </c>
      <c r="I63" s="39">
        <f>SUM(I64:I72)</f>
        <v>0</v>
      </c>
      <c r="J63" s="39">
        <f>H63+I63</f>
        <v>0</v>
      </c>
      <c r="K63" s="29"/>
      <c r="L63" s="39">
        <f>SUM(L64:L72)</f>
        <v>1.3774440000000001</v>
      </c>
      <c r="M63" s="29"/>
      <c r="P63" s="39">
        <f>IF(Q63="PR",J63,SUM(O64:O72))</f>
        <v>0</v>
      </c>
      <c r="Q63" s="29" t="s">
        <v>834</v>
      </c>
      <c r="R63" s="39">
        <f>IF(Q63="HS",H63,0)</f>
        <v>0</v>
      </c>
      <c r="S63" s="39">
        <f>IF(Q63="HS",I63-P63,0)</f>
        <v>0</v>
      </c>
      <c r="T63" s="39">
        <f>IF(Q63="PS",H63,0)</f>
        <v>0</v>
      </c>
      <c r="U63" s="39">
        <f>IF(Q63="PS",I63-P63,0)</f>
        <v>0</v>
      </c>
      <c r="V63" s="39">
        <f>IF(Q63="MP",H63,0)</f>
        <v>0</v>
      </c>
      <c r="W63" s="39">
        <f>IF(Q63="MP",I63-P63,0)</f>
        <v>0</v>
      </c>
      <c r="X63" s="39">
        <f>IF(Q63="OM",H63,0)</f>
        <v>0</v>
      </c>
      <c r="Y63" s="29"/>
      <c r="AI63" s="39">
        <f>SUM(Z64:Z72)</f>
        <v>0</v>
      </c>
      <c r="AJ63" s="39">
        <f>SUM(AA64:AA72)</f>
        <v>0</v>
      </c>
      <c r="AK63" s="39">
        <f>SUM(AB64:AB72)</f>
        <v>0</v>
      </c>
    </row>
    <row r="64" spans="1:43" ht="12.75">
      <c r="A64" s="4" t="s">
        <v>23</v>
      </c>
      <c r="B64" s="4"/>
      <c r="C64" s="4" t="s">
        <v>162</v>
      </c>
      <c r="D64" s="4" t="s">
        <v>340</v>
      </c>
      <c r="E64" s="4" t="s">
        <v>806</v>
      </c>
      <c r="F64" s="19">
        <v>70.56</v>
      </c>
      <c r="G64" s="19">
        <v>0</v>
      </c>
      <c r="H64" s="19">
        <f>F64*AE64</f>
        <v>0</v>
      </c>
      <c r="I64" s="19">
        <f>J64-H64</f>
        <v>0</v>
      </c>
      <c r="J64" s="19">
        <f>F64*G64</f>
        <v>0</v>
      </c>
      <c r="K64" s="19">
        <v>4E-05</v>
      </c>
      <c r="L64" s="19">
        <f>F64*K64</f>
        <v>0.0028224000000000005</v>
      </c>
      <c r="M64" s="32" t="s">
        <v>829</v>
      </c>
      <c r="N64" s="32" t="s">
        <v>7</v>
      </c>
      <c r="O64" s="19">
        <f>IF(N64="5",I64,0)</f>
        <v>0</v>
      </c>
      <c r="Z64" s="19">
        <f>IF(AD64=0,J64,0)</f>
        <v>0</v>
      </c>
      <c r="AA64" s="19">
        <f>IF(AD64=15,J64,0)</f>
        <v>0</v>
      </c>
      <c r="AB64" s="19">
        <f>IF(AD64=21,J64,0)</f>
        <v>0</v>
      </c>
      <c r="AD64" s="36">
        <v>21</v>
      </c>
      <c r="AE64" s="36">
        <f>G64*0.385112359550562</f>
        <v>0</v>
      </c>
      <c r="AF64" s="36">
        <f>G64*(1-0.385112359550562)</f>
        <v>0</v>
      </c>
      <c r="AM64" s="36">
        <f>F64*AE64</f>
        <v>0</v>
      </c>
      <c r="AN64" s="36">
        <f>F64*AF64</f>
        <v>0</v>
      </c>
      <c r="AO64" s="37" t="s">
        <v>846</v>
      </c>
      <c r="AP64" s="37" t="s">
        <v>845</v>
      </c>
      <c r="AQ64" s="29" t="s">
        <v>870</v>
      </c>
    </row>
    <row r="65" spans="4:6" ht="12.75">
      <c r="D65" s="15" t="s">
        <v>341</v>
      </c>
      <c r="F65" s="20">
        <v>61.44</v>
      </c>
    </row>
    <row r="66" spans="4:6" ht="12.75">
      <c r="D66" s="15" t="s">
        <v>342</v>
      </c>
      <c r="F66" s="20">
        <v>9.12</v>
      </c>
    </row>
    <row r="67" spans="1:43" ht="12.75">
      <c r="A67" s="4" t="s">
        <v>24</v>
      </c>
      <c r="B67" s="4"/>
      <c r="C67" s="4" t="s">
        <v>163</v>
      </c>
      <c r="D67" s="4" t="s">
        <v>343</v>
      </c>
      <c r="E67" s="4" t="s">
        <v>806</v>
      </c>
      <c r="F67" s="19">
        <v>14.4</v>
      </c>
      <c r="G67" s="19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0.04454</v>
      </c>
      <c r="L67" s="19">
        <f>F67*K67</f>
        <v>0.6413760000000001</v>
      </c>
      <c r="M67" s="32" t="s">
        <v>829</v>
      </c>
      <c r="N67" s="32" t="s">
        <v>9</v>
      </c>
      <c r="O67" s="19">
        <f>IF(N67="5",I67,0)</f>
        <v>0</v>
      </c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6">
        <v>21</v>
      </c>
      <c r="AE67" s="36">
        <f>G67*0.218343685300207</f>
        <v>0</v>
      </c>
      <c r="AF67" s="36">
        <f>G67*(1-0.218343685300207)</f>
        <v>0</v>
      </c>
      <c r="AM67" s="36">
        <f>F67*AE67</f>
        <v>0</v>
      </c>
      <c r="AN67" s="36">
        <f>F67*AF67</f>
        <v>0</v>
      </c>
      <c r="AO67" s="37" t="s">
        <v>846</v>
      </c>
      <c r="AP67" s="37" t="s">
        <v>845</v>
      </c>
      <c r="AQ67" s="29" t="s">
        <v>870</v>
      </c>
    </row>
    <row r="68" spans="4:6" ht="12.75">
      <c r="D68" s="15" t="s">
        <v>344</v>
      </c>
      <c r="F68" s="20">
        <v>14.4</v>
      </c>
    </row>
    <row r="69" spans="1:43" ht="12.75">
      <c r="A69" s="4" t="s">
        <v>25</v>
      </c>
      <c r="B69" s="4"/>
      <c r="C69" s="4" t="s">
        <v>164</v>
      </c>
      <c r="D69" s="4" t="s">
        <v>345</v>
      </c>
      <c r="E69" s="4" t="s">
        <v>806</v>
      </c>
      <c r="F69" s="19">
        <v>15.84</v>
      </c>
      <c r="G69" s="19">
        <v>0</v>
      </c>
      <c r="H69" s="19">
        <f>F69*AE69</f>
        <v>0</v>
      </c>
      <c r="I69" s="19">
        <f>J69-H69</f>
        <v>0</v>
      </c>
      <c r="J69" s="19">
        <f>F69*G69</f>
        <v>0</v>
      </c>
      <c r="K69" s="19">
        <v>0.00034</v>
      </c>
      <c r="L69" s="19">
        <f>F69*K69</f>
        <v>0.0053856</v>
      </c>
      <c r="M69" s="32" t="s">
        <v>829</v>
      </c>
      <c r="N69" s="32" t="s">
        <v>7</v>
      </c>
      <c r="O69" s="19">
        <f>IF(N69="5",I69,0)</f>
        <v>0</v>
      </c>
      <c r="Z69" s="19">
        <f>IF(AD69=0,J69,0)</f>
        <v>0</v>
      </c>
      <c r="AA69" s="19">
        <f>IF(AD69=15,J69,0)</f>
        <v>0</v>
      </c>
      <c r="AB69" s="19">
        <f>IF(AD69=21,J69,0)</f>
        <v>0</v>
      </c>
      <c r="AD69" s="36">
        <v>21</v>
      </c>
      <c r="AE69" s="36">
        <f>G69*0.245108225108225</f>
        <v>0</v>
      </c>
      <c r="AF69" s="36">
        <f>G69*(1-0.245108225108225)</f>
        <v>0</v>
      </c>
      <c r="AM69" s="36">
        <f>F69*AE69</f>
        <v>0</v>
      </c>
      <c r="AN69" s="36">
        <f>F69*AF69</f>
        <v>0</v>
      </c>
      <c r="AO69" s="37" t="s">
        <v>846</v>
      </c>
      <c r="AP69" s="37" t="s">
        <v>845</v>
      </c>
      <c r="AQ69" s="29" t="s">
        <v>870</v>
      </c>
    </row>
    <row r="70" spans="4:6" ht="12.75">
      <c r="D70" s="15" t="s">
        <v>346</v>
      </c>
      <c r="F70" s="20">
        <v>14.4</v>
      </c>
    </row>
    <row r="71" spans="4:6" ht="12.75">
      <c r="D71" s="15" t="s">
        <v>347</v>
      </c>
      <c r="F71" s="20">
        <v>1.44</v>
      </c>
    </row>
    <row r="72" spans="1:43" ht="12.75">
      <c r="A72" s="4" t="s">
        <v>26</v>
      </c>
      <c r="B72" s="4"/>
      <c r="C72" s="4" t="s">
        <v>165</v>
      </c>
      <c r="D72" s="4" t="s">
        <v>348</v>
      </c>
      <c r="E72" s="4" t="s">
        <v>807</v>
      </c>
      <c r="F72" s="19">
        <v>42</v>
      </c>
      <c r="G72" s="19">
        <v>0</v>
      </c>
      <c r="H72" s="19">
        <f>F72*AE72</f>
        <v>0</v>
      </c>
      <c r="I72" s="19">
        <f>J72-H72</f>
        <v>0</v>
      </c>
      <c r="J72" s="19">
        <f>F72*G72</f>
        <v>0</v>
      </c>
      <c r="K72" s="19">
        <v>0.01733</v>
      </c>
      <c r="L72" s="19">
        <f>F72*K72</f>
        <v>0.7278600000000001</v>
      </c>
      <c r="M72" s="32" t="s">
        <v>829</v>
      </c>
      <c r="N72" s="32" t="s">
        <v>7</v>
      </c>
      <c r="O72" s="19">
        <f>IF(N72="5",I72,0)</f>
        <v>0</v>
      </c>
      <c r="Z72" s="19">
        <f>IF(AD72=0,J72,0)</f>
        <v>0</v>
      </c>
      <c r="AA72" s="19">
        <f>IF(AD72=15,J72,0)</f>
        <v>0</v>
      </c>
      <c r="AB72" s="19">
        <f>IF(AD72=21,J72,0)</f>
        <v>0</v>
      </c>
      <c r="AD72" s="36">
        <v>21</v>
      </c>
      <c r="AE72" s="36">
        <f>G72*0.395574468085106</f>
        <v>0</v>
      </c>
      <c r="AF72" s="36">
        <f>G72*(1-0.395574468085106)</f>
        <v>0</v>
      </c>
      <c r="AM72" s="36">
        <f>F72*AE72</f>
        <v>0</v>
      </c>
      <c r="AN72" s="36">
        <f>F72*AF72</f>
        <v>0</v>
      </c>
      <c r="AO72" s="37" t="s">
        <v>846</v>
      </c>
      <c r="AP72" s="37" t="s">
        <v>845</v>
      </c>
      <c r="AQ72" s="29" t="s">
        <v>870</v>
      </c>
    </row>
    <row r="73" spans="4:6" ht="12.75">
      <c r="D73" s="15" t="s">
        <v>349</v>
      </c>
      <c r="F73" s="20">
        <v>42</v>
      </c>
    </row>
    <row r="74" spans="4:6" ht="12.75">
      <c r="D74" s="15" t="s">
        <v>350</v>
      </c>
      <c r="F74" s="20">
        <v>0</v>
      </c>
    </row>
    <row r="75" spans="1:37" ht="12.75">
      <c r="A75" s="5"/>
      <c r="B75" s="13"/>
      <c r="C75" s="13" t="s">
        <v>166</v>
      </c>
      <c r="D75" s="67" t="s">
        <v>351</v>
      </c>
      <c r="E75" s="68"/>
      <c r="F75" s="68"/>
      <c r="G75" s="68"/>
      <c r="H75" s="39">
        <f>SUM(H76:H84)</f>
        <v>0</v>
      </c>
      <c r="I75" s="39">
        <f>SUM(I76:I84)</f>
        <v>0</v>
      </c>
      <c r="J75" s="39">
        <f>H75+I75</f>
        <v>0</v>
      </c>
      <c r="K75" s="29"/>
      <c r="L75" s="39">
        <f>SUM(L76:L84)</f>
        <v>0.30821</v>
      </c>
      <c r="M75" s="29"/>
      <c r="P75" s="39">
        <f>IF(Q75="PR",J75,SUM(O76:O84))</f>
        <v>0</v>
      </c>
      <c r="Q75" s="29" t="s">
        <v>835</v>
      </c>
      <c r="R75" s="39">
        <f>IF(Q75="HS",H75,0)</f>
        <v>0</v>
      </c>
      <c r="S75" s="39">
        <f>IF(Q75="HS",I75-P75,0)</f>
        <v>0</v>
      </c>
      <c r="T75" s="39">
        <f>IF(Q75="PS",H75,0)</f>
        <v>0</v>
      </c>
      <c r="U75" s="39">
        <f>IF(Q75="PS",I75-P75,0)</f>
        <v>0</v>
      </c>
      <c r="V75" s="39">
        <f>IF(Q75="MP",H75,0)</f>
        <v>0</v>
      </c>
      <c r="W75" s="39">
        <f>IF(Q75="MP",I75-P75,0)</f>
        <v>0</v>
      </c>
      <c r="X75" s="39">
        <f>IF(Q75="OM",H75,0)</f>
        <v>0</v>
      </c>
      <c r="Y75" s="29"/>
      <c r="AI75" s="39">
        <f>SUM(Z76:Z84)</f>
        <v>0</v>
      </c>
      <c r="AJ75" s="39">
        <f>SUM(AA76:AA84)</f>
        <v>0</v>
      </c>
      <c r="AK75" s="39">
        <f>SUM(AB76:AB84)</f>
        <v>0</v>
      </c>
    </row>
    <row r="76" spans="1:43" ht="12.75">
      <c r="A76" s="4" t="s">
        <v>27</v>
      </c>
      <c r="B76" s="4"/>
      <c r="C76" s="4" t="s">
        <v>167</v>
      </c>
      <c r="D76" s="4" t="s">
        <v>352</v>
      </c>
      <c r="E76" s="4" t="s">
        <v>805</v>
      </c>
      <c r="F76" s="19">
        <v>7</v>
      </c>
      <c r="G76" s="19">
        <v>0</v>
      </c>
      <c r="H76" s="19">
        <f>F76*AE76</f>
        <v>0</v>
      </c>
      <c r="I76" s="19">
        <f>J76-H76</f>
        <v>0</v>
      </c>
      <c r="J76" s="19">
        <f>F76*G76</f>
        <v>0</v>
      </c>
      <c r="K76" s="19">
        <v>0.04285</v>
      </c>
      <c r="L76" s="19">
        <f>F76*K76</f>
        <v>0.29995</v>
      </c>
      <c r="M76" s="32" t="s">
        <v>829</v>
      </c>
      <c r="N76" s="32" t="s">
        <v>7</v>
      </c>
      <c r="O76" s="19">
        <f>IF(N76="5",I76,0)</f>
        <v>0</v>
      </c>
      <c r="Z76" s="19">
        <f>IF(AD76=0,J76,0)</f>
        <v>0</v>
      </c>
      <c r="AA76" s="19">
        <f>IF(AD76=15,J76,0)</f>
        <v>0</v>
      </c>
      <c r="AB76" s="19">
        <f>IF(AD76=21,J76,0)</f>
        <v>0</v>
      </c>
      <c r="AD76" s="36">
        <v>21</v>
      </c>
      <c r="AE76" s="36">
        <f>G76*0</f>
        <v>0</v>
      </c>
      <c r="AF76" s="36">
        <f>G76*(1-0)</f>
        <v>0</v>
      </c>
      <c r="AM76" s="36">
        <f>F76*AE76</f>
        <v>0</v>
      </c>
      <c r="AN76" s="36">
        <f>F76*AF76</f>
        <v>0</v>
      </c>
      <c r="AO76" s="37" t="s">
        <v>847</v>
      </c>
      <c r="AP76" s="37" t="s">
        <v>865</v>
      </c>
      <c r="AQ76" s="29" t="s">
        <v>870</v>
      </c>
    </row>
    <row r="77" spans="4:6" ht="12.75">
      <c r="D77" s="15" t="s">
        <v>353</v>
      </c>
      <c r="F77" s="20">
        <v>1</v>
      </c>
    </row>
    <row r="78" spans="4:6" ht="12.75">
      <c r="D78" s="15" t="s">
        <v>354</v>
      </c>
      <c r="F78" s="20">
        <v>1</v>
      </c>
    </row>
    <row r="79" spans="4:6" ht="12.75">
      <c r="D79" s="15" t="s">
        <v>355</v>
      </c>
      <c r="F79" s="20">
        <v>1</v>
      </c>
    </row>
    <row r="80" spans="4:6" ht="12.75">
      <c r="D80" s="15" t="s">
        <v>356</v>
      </c>
      <c r="F80" s="20">
        <v>1</v>
      </c>
    </row>
    <row r="81" spans="4:6" ht="12.75">
      <c r="D81" s="15" t="s">
        <v>357</v>
      </c>
      <c r="F81" s="20">
        <v>1</v>
      </c>
    </row>
    <row r="82" spans="4:6" ht="12.75">
      <c r="D82" s="15" t="s">
        <v>358</v>
      </c>
      <c r="F82" s="20">
        <v>1</v>
      </c>
    </row>
    <row r="83" spans="4:6" ht="12.75">
      <c r="D83" s="15" t="s">
        <v>359</v>
      </c>
      <c r="F83" s="20">
        <v>1</v>
      </c>
    </row>
    <row r="84" spans="1:43" ht="12.75">
      <c r="A84" s="4" t="s">
        <v>28</v>
      </c>
      <c r="B84" s="4"/>
      <c r="C84" s="4" t="s">
        <v>168</v>
      </c>
      <c r="D84" s="4" t="s">
        <v>360</v>
      </c>
      <c r="E84" s="4" t="s">
        <v>805</v>
      </c>
      <c r="F84" s="19">
        <v>7</v>
      </c>
      <c r="G84" s="19">
        <v>0</v>
      </c>
      <c r="H84" s="19">
        <f>F84*AE84</f>
        <v>0</v>
      </c>
      <c r="I84" s="19">
        <f>J84-H84</f>
        <v>0</v>
      </c>
      <c r="J84" s="19">
        <f>F84*G84</f>
        <v>0</v>
      </c>
      <c r="K84" s="19">
        <v>0.00118</v>
      </c>
      <c r="L84" s="19">
        <f>F84*K84</f>
        <v>0.00826</v>
      </c>
      <c r="M84" s="32" t="s">
        <v>829</v>
      </c>
      <c r="N84" s="32" t="s">
        <v>7</v>
      </c>
      <c r="O84" s="19">
        <f>IF(N84="5",I84,0)</f>
        <v>0</v>
      </c>
      <c r="Z84" s="19">
        <f>IF(AD84=0,J84,0)</f>
        <v>0</v>
      </c>
      <c r="AA84" s="19">
        <f>IF(AD84=15,J84,0)</f>
        <v>0</v>
      </c>
      <c r="AB84" s="19">
        <f>IF(AD84=21,J84,0)</f>
        <v>0</v>
      </c>
      <c r="AD84" s="36">
        <v>21</v>
      </c>
      <c r="AE84" s="36">
        <f>G84*0.960120576891836</f>
        <v>0</v>
      </c>
      <c r="AF84" s="36">
        <f>G84*(1-0.960120576891836)</f>
        <v>0</v>
      </c>
      <c r="AM84" s="36">
        <f>F84*AE84</f>
        <v>0</v>
      </c>
      <c r="AN84" s="36">
        <f>F84*AF84</f>
        <v>0</v>
      </c>
      <c r="AO84" s="37" t="s">
        <v>847</v>
      </c>
      <c r="AP84" s="37" t="s">
        <v>865</v>
      </c>
      <c r="AQ84" s="29" t="s">
        <v>870</v>
      </c>
    </row>
    <row r="85" spans="4:6" ht="12.75">
      <c r="D85" s="15" t="s">
        <v>361</v>
      </c>
      <c r="F85" s="20">
        <v>7</v>
      </c>
    </row>
    <row r="86" spans="1:37" ht="12.75">
      <c r="A86" s="5"/>
      <c r="B86" s="13"/>
      <c r="C86" s="13" t="s">
        <v>169</v>
      </c>
      <c r="D86" s="67" t="s">
        <v>362</v>
      </c>
      <c r="E86" s="68"/>
      <c r="F86" s="68"/>
      <c r="G86" s="68"/>
      <c r="H86" s="39">
        <f>SUM(H87:H117)</f>
        <v>0</v>
      </c>
      <c r="I86" s="39">
        <f>SUM(I87:I117)</f>
        <v>0</v>
      </c>
      <c r="J86" s="39">
        <f>H86+I86</f>
        <v>0</v>
      </c>
      <c r="K86" s="29"/>
      <c r="L86" s="39">
        <f>SUM(L87:L117)</f>
        <v>1.1230799999999999</v>
      </c>
      <c r="M86" s="29"/>
      <c r="P86" s="39">
        <f>IF(Q86="PR",J86,SUM(O87:O117))</f>
        <v>0</v>
      </c>
      <c r="Q86" s="29" t="s">
        <v>835</v>
      </c>
      <c r="R86" s="39">
        <f>IF(Q86="HS",H86,0)</f>
        <v>0</v>
      </c>
      <c r="S86" s="39">
        <f>IF(Q86="HS",I86-P86,0)</f>
        <v>0</v>
      </c>
      <c r="T86" s="39">
        <f>IF(Q86="PS",H86,0)</f>
        <v>0</v>
      </c>
      <c r="U86" s="39">
        <f>IF(Q86="PS",I86-P86,0)</f>
        <v>0</v>
      </c>
      <c r="V86" s="39">
        <f>IF(Q86="MP",H86,0)</f>
        <v>0</v>
      </c>
      <c r="W86" s="39">
        <f>IF(Q86="MP",I86-P86,0)</f>
        <v>0</v>
      </c>
      <c r="X86" s="39">
        <f>IF(Q86="OM",H86,0)</f>
        <v>0</v>
      </c>
      <c r="Y86" s="29"/>
      <c r="AI86" s="39">
        <f>SUM(Z87:Z117)</f>
        <v>0</v>
      </c>
      <c r="AJ86" s="39">
        <f>SUM(AA87:AA117)</f>
        <v>0</v>
      </c>
      <c r="AK86" s="39">
        <f>SUM(AB87:AB117)</f>
        <v>0</v>
      </c>
    </row>
    <row r="87" spans="1:43" ht="12.75">
      <c r="A87" s="4" t="s">
        <v>29</v>
      </c>
      <c r="B87" s="4"/>
      <c r="C87" s="4" t="s">
        <v>170</v>
      </c>
      <c r="D87" s="4" t="s">
        <v>363</v>
      </c>
      <c r="E87" s="4" t="s">
        <v>807</v>
      </c>
      <c r="F87" s="19">
        <v>42</v>
      </c>
      <c r="G87" s="19">
        <v>0</v>
      </c>
      <c r="H87" s="19">
        <f>F87*AE87</f>
        <v>0</v>
      </c>
      <c r="I87" s="19">
        <f>J87-H87</f>
        <v>0</v>
      </c>
      <c r="J87" s="19">
        <f>F87*G87</f>
        <v>0</v>
      </c>
      <c r="K87" s="19">
        <v>0.00518</v>
      </c>
      <c r="L87" s="19">
        <f>F87*K87</f>
        <v>0.21755999999999998</v>
      </c>
      <c r="M87" s="32" t="s">
        <v>829</v>
      </c>
      <c r="N87" s="32" t="s">
        <v>7</v>
      </c>
      <c r="O87" s="19">
        <f>IF(N87="5",I87,0)</f>
        <v>0</v>
      </c>
      <c r="Z87" s="19">
        <f>IF(AD87=0,J87,0)</f>
        <v>0</v>
      </c>
      <c r="AA87" s="19">
        <f>IF(AD87=15,J87,0)</f>
        <v>0</v>
      </c>
      <c r="AB87" s="19">
        <f>IF(AD87=21,J87,0)</f>
        <v>0</v>
      </c>
      <c r="AD87" s="36">
        <v>21</v>
      </c>
      <c r="AE87" s="36">
        <f>G87*0.261866346478556</f>
        <v>0</v>
      </c>
      <c r="AF87" s="36">
        <f>G87*(1-0.261866346478556)</f>
        <v>0</v>
      </c>
      <c r="AM87" s="36">
        <f>F87*AE87</f>
        <v>0</v>
      </c>
      <c r="AN87" s="36">
        <f>F87*AF87</f>
        <v>0</v>
      </c>
      <c r="AO87" s="37" t="s">
        <v>848</v>
      </c>
      <c r="AP87" s="37" t="s">
        <v>865</v>
      </c>
      <c r="AQ87" s="29" t="s">
        <v>870</v>
      </c>
    </row>
    <row r="88" spans="4:6" ht="12.75">
      <c r="D88" s="15" t="s">
        <v>364</v>
      </c>
      <c r="F88" s="20">
        <v>5</v>
      </c>
    </row>
    <row r="89" spans="4:6" ht="12.75">
      <c r="D89" s="15" t="s">
        <v>365</v>
      </c>
      <c r="F89" s="20">
        <v>5</v>
      </c>
    </row>
    <row r="90" spans="4:6" ht="12.75">
      <c r="D90" s="15" t="s">
        <v>366</v>
      </c>
      <c r="F90" s="20">
        <v>5</v>
      </c>
    </row>
    <row r="91" spans="4:6" ht="12.75">
      <c r="D91" s="15" t="s">
        <v>367</v>
      </c>
      <c r="F91" s="20">
        <v>5</v>
      </c>
    </row>
    <row r="92" spans="4:6" ht="12.75">
      <c r="D92" s="15" t="s">
        <v>368</v>
      </c>
      <c r="F92" s="20">
        <v>5</v>
      </c>
    </row>
    <row r="93" spans="4:6" ht="12.75">
      <c r="D93" s="15" t="s">
        <v>369</v>
      </c>
      <c r="F93" s="20">
        <v>5</v>
      </c>
    </row>
    <row r="94" spans="4:6" ht="12.75">
      <c r="D94" s="15" t="s">
        <v>370</v>
      </c>
      <c r="F94" s="20">
        <v>7</v>
      </c>
    </row>
    <row r="95" spans="4:6" ht="12.75">
      <c r="D95" s="15" t="s">
        <v>371</v>
      </c>
      <c r="F95" s="20">
        <v>5</v>
      </c>
    </row>
    <row r="96" spans="1:43" ht="12.75">
      <c r="A96" s="4" t="s">
        <v>30</v>
      </c>
      <c r="B96" s="4"/>
      <c r="C96" s="4" t="s">
        <v>171</v>
      </c>
      <c r="D96" s="4" t="s">
        <v>372</v>
      </c>
      <c r="E96" s="4" t="s">
        <v>807</v>
      </c>
      <c r="F96" s="19">
        <v>42</v>
      </c>
      <c r="G96" s="19">
        <v>0</v>
      </c>
      <c r="H96" s="19">
        <f>F96*AE96</f>
        <v>0</v>
      </c>
      <c r="I96" s="19">
        <f>J96-H96</f>
        <v>0</v>
      </c>
      <c r="J96" s="19">
        <f>F96*G96</f>
        <v>0</v>
      </c>
      <c r="K96" s="19">
        <v>0.00522</v>
      </c>
      <c r="L96" s="19">
        <f>F96*K96</f>
        <v>0.21924</v>
      </c>
      <c r="M96" s="32" t="s">
        <v>829</v>
      </c>
      <c r="N96" s="32" t="s">
        <v>7</v>
      </c>
      <c r="O96" s="19">
        <f>IF(N96="5",I96,0)</f>
        <v>0</v>
      </c>
      <c r="Z96" s="19">
        <f>IF(AD96=0,J96,0)</f>
        <v>0</v>
      </c>
      <c r="AA96" s="19">
        <f>IF(AD96=15,J96,0)</f>
        <v>0</v>
      </c>
      <c r="AB96" s="19">
        <f>IF(AD96=21,J96,0)</f>
        <v>0</v>
      </c>
      <c r="AD96" s="36">
        <v>21</v>
      </c>
      <c r="AE96" s="36">
        <f>G96*0.277673614940627</f>
        <v>0</v>
      </c>
      <c r="AF96" s="36">
        <f>G96*(1-0.277673614940627)</f>
        <v>0</v>
      </c>
      <c r="AM96" s="36">
        <f>F96*AE96</f>
        <v>0</v>
      </c>
      <c r="AN96" s="36">
        <f>F96*AF96</f>
        <v>0</v>
      </c>
      <c r="AO96" s="37" t="s">
        <v>848</v>
      </c>
      <c r="AP96" s="37" t="s">
        <v>865</v>
      </c>
      <c r="AQ96" s="29" t="s">
        <v>870</v>
      </c>
    </row>
    <row r="97" spans="4:6" ht="12.75">
      <c r="D97" s="15" t="s">
        <v>373</v>
      </c>
      <c r="F97" s="20">
        <v>42</v>
      </c>
    </row>
    <row r="98" spans="1:43" ht="12.75">
      <c r="A98" s="4" t="s">
        <v>31</v>
      </c>
      <c r="B98" s="4"/>
      <c r="C98" s="4" t="s">
        <v>172</v>
      </c>
      <c r="D98" s="4" t="s">
        <v>374</v>
      </c>
      <c r="E98" s="4" t="s">
        <v>807</v>
      </c>
      <c r="F98" s="19">
        <v>42</v>
      </c>
      <c r="G98" s="19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0.00401</v>
      </c>
      <c r="L98" s="19">
        <f>F98*K98</f>
        <v>0.16842</v>
      </c>
      <c r="M98" s="32" t="s">
        <v>829</v>
      </c>
      <c r="N98" s="32" t="s">
        <v>7</v>
      </c>
      <c r="O98" s="19">
        <f>IF(N98="5",I98,0)</f>
        <v>0</v>
      </c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6">
        <v>21</v>
      </c>
      <c r="AE98" s="36">
        <f>G98*0.249428225480963</f>
        <v>0</v>
      </c>
      <c r="AF98" s="36">
        <f>G98*(1-0.249428225480963)</f>
        <v>0</v>
      </c>
      <c r="AM98" s="36">
        <f>F98*AE98</f>
        <v>0</v>
      </c>
      <c r="AN98" s="36">
        <f>F98*AF98</f>
        <v>0</v>
      </c>
      <c r="AO98" s="37" t="s">
        <v>848</v>
      </c>
      <c r="AP98" s="37" t="s">
        <v>865</v>
      </c>
      <c r="AQ98" s="29" t="s">
        <v>870</v>
      </c>
    </row>
    <row r="99" spans="4:6" ht="12.75">
      <c r="D99" s="15" t="s">
        <v>373</v>
      </c>
      <c r="F99" s="20">
        <v>42</v>
      </c>
    </row>
    <row r="100" spans="1:43" ht="12.75">
      <c r="A100" s="4" t="s">
        <v>32</v>
      </c>
      <c r="B100" s="4"/>
      <c r="C100" s="4" t="s">
        <v>173</v>
      </c>
      <c r="D100" s="4" t="s">
        <v>375</v>
      </c>
      <c r="E100" s="4" t="s">
        <v>807</v>
      </c>
      <c r="F100" s="19">
        <v>126</v>
      </c>
      <c r="G100" s="19">
        <v>0</v>
      </c>
      <c r="H100" s="19">
        <f>F100*AE100</f>
        <v>0</v>
      </c>
      <c r="I100" s="19">
        <f>J100-H100</f>
        <v>0</v>
      </c>
      <c r="J100" s="19">
        <f>F100*G100</f>
        <v>0</v>
      </c>
      <c r="K100" s="19">
        <v>0</v>
      </c>
      <c r="L100" s="19">
        <f>F100*K100</f>
        <v>0</v>
      </c>
      <c r="M100" s="32" t="s">
        <v>829</v>
      </c>
      <c r="N100" s="32" t="s">
        <v>7</v>
      </c>
      <c r="O100" s="19">
        <f>IF(N100="5",I100,0)</f>
        <v>0</v>
      </c>
      <c r="Z100" s="19">
        <f>IF(AD100=0,J100,0)</f>
        <v>0</v>
      </c>
      <c r="AA100" s="19">
        <f>IF(AD100=15,J100,0)</f>
        <v>0</v>
      </c>
      <c r="AB100" s="19">
        <f>IF(AD100=21,J100,0)</f>
        <v>0</v>
      </c>
      <c r="AD100" s="36">
        <v>21</v>
      </c>
      <c r="AE100" s="36">
        <f>G100*0</f>
        <v>0</v>
      </c>
      <c r="AF100" s="36">
        <f>G100*(1-0)</f>
        <v>0</v>
      </c>
      <c r="AM100" s="36">
        <f>F100*AE100</f>
        <v>0</v>
      </c>
      <c r="AN100" s="36">
        <f>F100*AF100</f>
        <v>0</v>
      </c>
      <c r="AO100" s="37" t="s">
        <v>848</v>
      </c>
      <c r="AP100" s="37" t="s">
        <v>865</v>
      </c>
      <c r="AQ100" s="29" t="s">
        <v>870</v>
      </c>
    </row>
    <row r="101" spans="4:6" ht="12.75">
      <c r="D101" s="15" t="s">
        <v>373</v>
      </c>
      <c r="F101" s="20">
        <v>42</v>
      </c>
    </row>
    <row r="102" spans="4:6" ht="12.75">
      <c r="D102" s="15" t="s">
        <v>376</v>
      </c>
      <c r="F102" s="20">
        <v>42</v>
      </c>
    </row>
    <row r="103" spans="4:6" ht="12.75">
      <c r="D103" s="15" t="s">
        <v>377</v>
      </c>
      <c r="F103" s="20">
        <v>42</v>
      </c>
    </row>
    <row r="104" spans="1:43" ht="12.75">
      <c r="A104" s="6" t="s">
        <v>33</v>
      </c>
      <c r="B104" s="6"/>
      <c r="C104" s="6" t="s">
        <v>174</v>
      </c>
      <c r="D104" s="6" t="s">
        <v>378</v>
      </c>
      <c r="E104" s="6" t="s">
        <v>807</v>
      </c>
      <c r="F104" s="21">
        <v>126</v>
      </c>
      <c r="G104" s="21">
        <v>0</v>
      </c>
      <c r="H104" s="21">
        <f>F104*AE104</f>
        <v>0</v>
      </c>
      <c r="I104" s="21">
        <f>J104-H104</f>
        <v>0</v>
      </c>
      <c r="J104" s="21">
        <f>F104*G104</f>
        <v>0</v>
      </c>
      <c r="K104" s="21">
        <v>2E-05</v>
      </c>
      <c r="L104" s="21">
        <f>F104*K104</f>
        <v>0.00252</v>
      </c>
      <c r="M104" s="32" t="s">
        <v>829</v>
      </c>
      <c r="N104" s="33" t="s">
        <v>831</v>
      </c>
      <c r="O104" s="21">
        <f>IF(N104="5",I104,0)</f>
        <v>0</v>
      </c>
      <c r="Z104" s="21">
        <f>IF(AD104=0,J104,0)</f>
        <v>0</v>
      </c>
      <c r="AA104" s="21">
        <f>IF(AD104=15,J104,0)</f>
        <v>0</v>
      </c>
      <c r="AB104" s="21">
        <f>IF(AD104=21,J104,0)</f>
        <v>0</v>
      </c>
      <c r="AD104" s="36">
        <v>21</v>
      </c>
      <c r="AE104" s="36">
        <f>G104*1</f>
        <v>0</v>
      </c>
      <c r="AF104" s="36">
        <f>G104*(1-1)</f>
        <v>0</v>
      </c>
      <c r="AM104" s="36">
        <f>F104*AE104</f>
        <v>0</v>
      </c>
      <c r="AN104" s="36">
        <f>F104*AF104</f>
        <v>0</v>
      </c>
      <c r="AO104" s="37" t="s">
        <v>848</v>
      </c>
      <c r="AP104" s="37" t="s">
        <v>865</v>
      </c>
      <c r="AQ104" s="29" t="s">
        <v>870</v>
      </c>
    </row>
    <row r="105" spans="4:6" ht="12.75">
      <c r="D105" s="15" t="s">
        <v>379</v>
      </c>
      <c r="F105" s="20">
        <v>126</v>
      </c>
    </row>
    <row r="106" spans="1:43" ht="12.75">
      <c r="A106" s="4" t="s">
        <v>34</v>
      </c>
      <c r="B106" s="4"/>
      <c r="C106" s="4" t="s">
        <v>175</v>
      </c>
      <c r="D106" s="4" t="s">
        <v>380</v>
      </c>
      <c r="E106" s="4" t="s">
        <v>805</v>
      </c>
      <c r="F106" s="19">
        <v>50</v>
      </c>
      <c r="G106" s="19">
        <v>0</v>
      </c>
      <c r="H106" s="19">
        <f>F106*AE106</f>
        <v>0</v>
      </c>
      <c r="I106" s="19">
        <f>J106-H106</f>
        <v>0</v>
      </c>
      <c r="J106" s="19">
        <f>F106*G106</f>
        <v>0</v>
      </c>
      <c r="K106" s="19">
        <v>0.00063</v>
      </c>
      <c r="L106" s="19">
        <f>F106*K106</f>
        <v>0.0315</v>
      </c>
      <c r="M106" s="32" t="s">
        <v>829</v>
      </c>
      <c r="N106" s="32" t="s">
        <v>7</v>
      </c>
      <c r="O106" s="19">
        <f>IF(N106="5",I106,0)</f>
        <v>0</v>
      </c>
      <c r="Z106" s="19">
        <f>IF(AD106=0,J106,0)</f>
        <v>0</v>
      </c>
      <c r="AA106" s="19">
        <f>IF(AD106=15,J106,0)</f>
        <v>0</v>
      </c>
      <c r="AB106" s="19">
        <f>IF(AD106=21,J106,0)</f>
        <v>0</v>
      </c>
      <c r="AD106" s="36">
        <v>21</v>
      </c>
      <c r="AE106" s="36">
        <f>G106*0.5313125</f>
        <v>0</v>
      </c>
      <c r="AF106" s="36">
        <f>G106*(1-0.5313125)</f>
        <v>0</v>
      </c>
      <c r="AM106" s="36">
        <f>F106*AE106</f>
        <v>0</v>
      </c>
      <c r="AN106" s="36">
        <f>F106*AF106</f>
        <v>0</v>
      </c>
      <c r="AO106" s="37" t="s">
        <v>848</v>
      </c>
      <c r="AP106" s="37" t="s">
        <v>865</v>
      </c>
      <c r="AQ106" s="29" t="s">
        <v>870</v>
      </c>
    </row>
    <row r="107" spans="4:6" ht="12.75">
      <c r="D107" s="15" t="s">
        <v>381</v>
      </c>
      <c r="F107" s="20">
        <v>30</v>
      </c>
    </row>
    <row r="108" spans="4:6" ht="12.75">
      <c r="D108" s="15" t="s">
        <v>382</v>
      </c>
      <c r="F108" s="20">
        <v>14</v>
      </c>
    </row>
    <row r="109" spans="4:6" ht="12.75">
      <c r="D109" s="15" t="s">
        <v>383</v>
      </c>
      <c r="F109" s="20">
        <v>2</v>
      </c>
    </row>
    <row r="110" spans="4:6" ht="12.75">
      <c r="D110" s="15" t="s">
        <v>384</v>
      </c>
      <c r="F110" s="20">
        <v>4</v>
      </c>
    </row>
    <row r="111" spans="1:43" ht="12.75">
      <c r="A111" s="4" t="s">
        <v>35</v>
      </c>
      <c r="B111" s="4"/>
      <c r="C111" s="4" t="s">
        <v>176</v>
      </c>
      <c r="D111" s="4" t="s">
        <v>385</v>
      </c>
      <c r="E111" s="4" t="s">
        <v>807</v>
      </c>
      <c r="F111" s="19">
        <v>126</v>
      </c>
      <c r="G111" s="19">
        <v>0</v>
      </c>
      <c r="H111" s="19">
        <f>F111*AE111</f>
        <v>0</v>
      </c>
      <c r="I111" s="19">
        <f>J111-H111</f>
        <v>0</v>
      </c>
      <c r="J111" s="19">
        <f>F111*G111</f>
        <v>0</v>
      </c>
      <c r="K111" s="19">
        <v>0.00038</v>
      </c>
      <c r="L111" s="19">
        <f>F111*K111</f>
        <v>0.047880000000000006</v>
      </c>
      <c r="M111" s="32" t="s">
        <v>829</v>
      </c>
      <c r="N111" s="32" t="s">
        <v>7</v>
      </c>
      <c r="O111" s="19">
        <f>IF(N111="5",I111,0)</f>
        <v>0</v>
      </c>
      <c r="Z111" s="19">
        <f>IF(AD111=0,J111,0)</f>
        <v>0</v>
      </c>
      <c r="AA111" s="19">
        <f>IF(AD111=15,J111,0)</f>
        <v>0</v>
      </c>
      <c r="AB111" s="19">
        <f>IF(AD111=21,J111,0)</f>
        <v>0</v>
      </c>
      <c r="AD111" s="36">
        <v>21</v>
      </c>
      <c r="AE111" s="36">
        <f>G111*0.216706161137441</f>
        <v>0</v>
      </c>
      <c r="AF111" s="36">
        <f>G111*(1-0.216706161137441)</f>
        <v>0</v>
      </c>
      <c r="AM111" s="36">
        <f>F111*AE111</f>
        <v>0</v>
      </c>
      <c r="AN111" s="36">
        <f>F111*AF111</f>
        <v>0</v>
      </c>
      <c r="AO111" s="37" t="s">
        <v>848</v>
      </c>
      <c r="AP111" s="37" t="s">
        <v>865</v>
      </c>
      <c r="AQ111" s="29" t="s">
        <v>870</v>
      </c>
    </row>
    <row r="112" spans="4:6" ht="12.75">
      <c r="D112" s="15" t="s">
        <v>373</v>
      </c>
      <c r="F112" s="20">
        <v>42</v>
      </c>
    </row>
    <row r="113" spans="4:6" ht="12.75">
      <c r="D113" s="15" t="s">
        <v>376</v>
      </c>
      <c r="F113" s="20">
        <v>42</v>
      </c>
    </row>
    <row r="114" spans="4:6" ht="12.75">
      <c r="D114" s="15" t="s">
        <v>377</v>
      </c>
      <c r="F114" s="20">
        <v>42</v>
      </c>
    </row>
    <row r="115" spans="1:43" ht="12.75">
      <c r="A115" s="4" t="s">
        <v>36</v>
      </c>
      <c r="B115" s="4"/>
      <c r="C115" s="4" t="s">
        <v>177</v>
      </c>
      <c r="D115" s="4" t="s">
        <v>386</v>
      </c>
      <c r="E115" s="4" t="s">
        <v>807</v>
      </c>
      <c r="F115" s="19">
        <v>126</v>
      </c>
      <c r="G115" s="19">
        <v>0</v>
      </c>
      <c r="H115" s="19">
        <f>F115*AE115</f>
        <v>0</v>
      </c>
      <c r="I115" s="19">
        <f>J115-H115</f>
        <v>0</v>
      </c>
      <c r="J115" s="19">
        <f>F115*G115</f>
        <v>0</v>
      </c>
      <c r="K115" s="19">
        <v>1E-05</v>
      </c>
      <c r="L115" s="19">
        <f>F115*K115</f>
        <v>0.00126</v>
      </c>
      <c r="M115" s="32" t="s">
        <v>829</v>
      </c>
      <c r="N115" s="32" t="s">
        <v>7</v>
      </c>
      <c r="O115" s="19">
        <f>IF(N115="5",I115,0)</f>
        <v>0</v>
      </c>
      <c r="Z115" s="19">
        <f>IF(AD115=0,J115,0)</f>
        <v>0</v>
      </c>
      <c r="AA115" s="19">
        <f>IF(AD115=15,J115,0)</f>
        <v>0</v>
      </c>
      <c r="AB115" s="19">
        <f>IF(AD115=21,J115,0)</f>
        <v>0</v>
      </c>
      <c r="AD115" s="36">
        <v>21</v>
      </c>
      <c r="AE115" s="36">
        <f>G115*0.0659090909090909</f>
        <v>0</v>
      </c>
      <c r="AF115" s="36">
        <f>G115*(1-0.0659090909090909)</f>
        <v>0</v>
      </c>
      <c r="AM115" s="36">
        <f>F115*AE115</f>
        <v>0</v>
      </c>
      <c r="AN115" s="36">
        <f>F115*AF115</f>
        <v>0</v>
      </c>
      <c r="AO115" s="37" t="s">
        <v>848</v>
      </c>
      <c r="AP115" s="37" t="s">
        <v>865</v>
      </c>
      <c r="AQ115" s="29" t="s">
        <v>870</v>
      </c>
    </row>
    <row r="116" spans="4:6" ht="12.75">
      <c r="D116" s="15" t="s">
        <v>387</v>
      </c>
      <c r="F116" s="20">
        <v>126</v>
      </c>
    </row>
    <row r="117" spans="1:43" ht="12.75">
      <c r="A117" s="4" t="s">
        <v>37</v>
      </c>
      <c r="B117" s="4"/>
      <c r="C117" s="4" t="s">
        <v>178</v>
      </c>
      <c r="D117" s="4" t="s">
        <v>388</v>
      </c>
      <c r="E117" s="4" t="s">
        <v>807</v>
      </c>
      <c r="F117" s="19">
        <v>126</v>
      </c>
      <c r="G117" s="19">
        <v>0</v>
      </c>
      <c r="H117" s="19">
        <f>F117*AE117</f>
        <v>0</v>
      </c>
      <c r="I117" s="19">
        <f>J117-H117</f>
        <v>0</v>
      </c>
      <c r="J117" s="19">
        <f>F117*G117</f>
        <v>0</v>
      </c>
      <c r="K117" s="19">
        <v>0.00345</v>
      </c>
      <c r="L117" s="19">
        <f>F117*K117</f>
        <v>0.4347</v>
      </c>
      <c r="M117" s="32" t="s">
        <v>829</v>
      </c>
      <c r="N117" s="32" t="s">
        <v>7</v>
      </c>
      <c r="O117" s="19">
        <f>IF(N117="5",I117,0)</f>
        <v>0</v>
      </c>
      <c r="Z117" s="19">
        <f>IF(AD117=0,J117,0)</f>
        <v>0</v>
      </c>
      <c r="AA117" s="19">
        <f>IF(AD117=15,J117,0)</f>
        <v>0</v>
      </c>
      <c r="AB117" s="19">
        <f>IF(AD117=21,J117,0)</f>
        <v>0</v>
      </c>
      <c r="AD117" s="36">
        <v>21</v>
      </c>
      <c r="AE117" s="36">
        <f>G117*0</f>
        <v>0</v>
      </c>
      <c r="AF117" s="36">
        <f>G117*(1-0)</f>
        <v>0</v>
      </c>
      <c r="AM117" s="36">
        <f>F117*AE117</f>
        <v>0</v>
      </c>
      <c r="AN117" s="36">
        <f>F117*AF117</f>
        <v>0</v>
      </c>
      <c r="AO117" s="37" t="s">
        <v>848</v>
      </c>
      <c r="AP117" s="37" t="s">
        <v>865</v>
      </c>
      <c r="AQ117" s="29" t="s">
        <v>870</v>
      </c>
    </row>
    <row r="118" spans="4:6" ht="12.75">
      <c r="D118" s="15" t="s">
        <v>389</v>
      </c>
      <c r="F118" s="20">
        <v>126</v>
      </c>
    </row>
    <row r="119" spans="1:37" ht="12.75">
      <c r="A119" s="5"/>
      <c r="B119" s="13"/>
      <c r="C119" s="13" t="s">
        <v>179</v>
      </c>
      <c r="D119" s="67" t="s">
        <v>390</v>
      </c>
      <c r="E119" s="68"/>
      <c r="F119" s="68"/>
      <c r="G119" s="68"/>
      <c r="H119" s="39">
        <f>SUM(H120:H267)</f>
        <v>0</v>
      </c>
      <c r="I119" s="39">
        <f>SUM(I120:I267)</f>
        <v>0</v>
      </c>
      <c r="J119" s="39">
        <f>H119+I119</f>
        <v>0</v>
      </c>
      <c r="K119" s="29"/>
      <c r="L119" s="39">
        <f>SUM(L120:L267)</f>
        <v>1.8793099999999998</v>
      </c>
      <c r="M119" s="29"/>
      <c r="P119" s="39">
        <f>IF(Q119="PR",J119,SUM(O120:O267))</f>
        <v>0</v>
      </c>
      <c r="Q119" s="29" t="s">
        <v>835</v>
      </c>
      <c r="R119" s="39">
        <f>IF(Q119="HS",H119,0)</f>
        <v>0</v>
      </c>
      <c r="S119" s="39">
        <f>IF(Q119="HS",I119-P119,0)</f>
        <v>0</v>
      </c>
      <c r="T119" s="39">
        <f>IF(Q119="PS",H119,0)</f>
        <v>0</v>
      </c>
      <c r="U119" s="39">
        <f>IF(Q119="PS",I119-P119,0)</f>
        <v>0</v>
      </c>
      <c r="V119" s="39">
        <f>IF(Q119="MP",H119,0)</f>
        <v>0</v>
      </c>
      <c r="W119" s="39">
        <f>IF(Q119="MP",I119-P119,0)</f>
        <v>0</v>
      </c>
      <c r="X119" s="39">
        <f>IF(Q119="OM",H119,0)</f>
        <v>0</v>
      </c>
      <c r="Y119" s="29"/>
      <c r="AI119" s="39">
        <f>SUM(Z120:Z267)</f>
        <v>0</v>
      </c>
      <c r="AJ119" s="39">
        <f>SUM(AA120:AA267)</f>
        <v>0</v>
      </c>
      <c r="AK119" s="39">
        <f>SUM(AB120:AB267)</f>
        <v>0</v>
      </c>
    </row>
    <row r="120" spans="1:43" ht="12.75">
      <c r="A120" s="4" t="s">
        <v>38</v>
      </c>
      <c r="B120" s="4"/>
      <c r="C120" s="4" t="s">
        <v>180</v>
      </c>
      <c r="D120" s="4" t="s">
        <v>391</v>
      </c>
      <c r="E120" s="4" t="s">
        <v>808</v>
      </c>
      <c r="F120" s="19">
        <v>8</v>
      </c>
      <c r="G120" s="19">
        <v>0</v>
      </c>
      <c r="H120" s="19">
        <f>F120*AE120</f>
        <v>0</v>
      </c>
      <c r="I120" s="19">
        <f>J120-H120</f>
        <v>0</v>
      </c>
      <c r="J120" s="19">
        <f>F120*G120</f>
        <v>0</v>
      </c>
      <c r="K120" s="19">
        <v>0.01933</v>
      </c>
      <c r="L120" s="19">
        <f>F120*K120</f>
        <v>0.15464</v>
      </c>
      <c r="M120" s="32" t="s">
        <v>829</v>
      </c>
      <c r="N120" s="32" t="s">
        <v>7</v>
      </c>
      <c r="O120" s="19">
        <f>IF(N120="5",I120,0)</f>
        <v>0</v>
      </c>
      <c r="Z120" s="19">
        <f>IF(AD120=0,J120,0)</f>
        <v>0</v>
      </c>
      <c r="AA120" s="19">
        <f>IF(AD120=15,J120,0)</f>
        <v>0</v>
      </c>
      <c r="AB120" s="19">
        <f>IF(AD120=21,J120,0)</f>
        <v>0</v>
      </c>
      <c r="AD120" s="36">
        <v>21</v>
      </c>
      <c r="AE120" s="36">
        <f>G120*0</f>
        <v>0</v>
      </c>
      <c r="AF120" s="36">
        <f>G120*(1-0)</f>
        <v>0</v>
      </c>
      <c r="AM120" s="36">
        <f>F120*AE120</f>
        <v>0</v>
      </c>
      <c r="AN120" s="36">
        <f>F120*AF120</f>
        <v>0</v>
      </c>
      <c r="AO120" s="37" t="s">
        <v>849</v>
      </c>
      <c r="AP120" s="37" t="s">
        <v>865</v>
      </c>
      <c r="AQ120" s="29" t="s">
        <v>870</v>
      </c>
    </row>
    <row r="121" spans="4:6" ht="12.75">
      <c r="D121" s="15" t="s">
        <v>392</v>
      </c>
      <c r="F121" s="20">
        <v>1</v>
      </c>
    </row>
    <row r="122" spans="4:6" ht="12.75">
      <c r="D122" s="15" t="s">
        <v>393</v>
      </c>
      <c r="F122" s="20">
        <v>1</v>
      </c>
    </row>
    <row r="123" spans="4:6" ht="12.75">
      <c r="D123" s="15" t="s">
        <v>394</v>
      </c>
      <c r="F123" s="20">
        <v>1</v>
      </c>
    </row>
    <row r="124" spans="4:6" ht="12.75">
      <c r="D124" s="15" t="s">
        <v>395</v>
      </c>
      <c r="F124" s="20">
        <v>1</v>
      </c>
    </row>
    <row r="125" spans="4:6" ht="12.75">
      <c r="D125" s="15" t="s">
        <v>396</v>
      </c>
      <c r="F125" s="20">
        <v>1</v>
      </c>
    </row>
    <row r="126" spans="4:6" ht="12.75">
      <c r="D126" s="15" t="s">
        <v>397</v>
      </c>
      <c r="F126" s="20">
        <v>1</v>
      </c>
    </row>
    <row r="127" spans="4:6" ht="12.75">
      <c r="D127" s="15" t="s">
        <v>398</v>
      </c>
      <c r="F127" s="20">
        <v>1</v>
      </c>
    </row>
    <row r="128" spans="4:6" ht="12.75">
      <c r="D128" s="15" t="s">
        <v>399</v>
      </c>
      <c r="F128" s="20">
        <v>1</v>
      </c>
    </row>
    <row r="129" spans="1:43" ht="12.75">
      <c r="A129" s="4" t="s">
        <v>39</v>
      </c>
      <c r="B129" s="4"/>
      <c r="C129" s="4" t="s">
        <v>181</v>
      </c>
      <c r="D129" s="4" t="s">
        <v>400</v>
      </c>
      <c r="E129" s="4" t="s">
        <v>805</v>
      </c>
      <c r="F129" s="19">
        <v>8</v>
      </c>
      <c r="G129" s="19">
        <v>0</v>
      </c>
      <c r="H129" s="19">
        <f>F129*AE129</f>
        <v>0</v>
      </c>
      <c r="I129" s="19">
        <f>J129-H129</f>
        <v>0</v>
      </c>
      <c r="J129" s="19">
        <f>F129*G129</f>
        <v>0</v>
      </c>
      <c r="K129" s="19">
        <v>0.0018</v>
      </c>
      <c r="L129" s="19">
        <f>F129*K129</f>
        <v>0.0144</v>
      </c>
      <c r="M129" s="32" t="s">
        <v>829</v>
      </c>
      <c r="N129" s="32" t="s">
        <v>7</v>
      </c>
      <c r="O129" s="19">
        <f>IF(N129="5",I129,0)</f>
        <v>0</v>
      </c>
      <c r="Z129" s="19">
        <f>IF(AD129=0,J129,0)</f>
        <v>0</v>
      </c>
      <c r="AA129" s="19">
        <f>IF(AD129=15,J129,0)</f>
        <v>0</v>
      </c>
      <c r="AB129" s="19">
        <f>IF(AD129=21,J129,0)</f>
        <v>0</v>
      </c>
      <c r="AD129" s="36">
        <v>21</v>
      </c>
      <c r="AE129" s="36">
        <f>G129*0.508070987654321</f>
        <v>0</v>
      </c>
      <c r="AF129" s="36">
        <f>G129*(1-0.508070987654321)</f>
        <v>0</v>
      </c>
      <c r="AM129" s="36">
        <f>F129*AE129</f>
        <v>0</v>
      </c>
      <c r="AN129" s="36">
        <f>F129*AF129</f>
        <v>0</v>
      </c>
      <c r="AO129" s="37" t="s">
        <v>849</v>
      </c>
      <c r="AP129" s="37" t="s">
        <v>865</v>
      </c>
      <c r="AQ129" s="29" t="s">
        <v>870</v>
      </c>
    </row>
    <row r="130" spans="4:6" ht="12.75">
      <c r="D130" s="15" t="s">
        <v>401</v>
      </c>
      <c r="F130" s="20">
        <v>8</v>
      </c>
    </row>
    <row r="131" spans="1:43" ht="12.75">
      <c r="A131" s="6" t="s">
        <v>40</v>
      </c>
      <c r="B131" s="6"/>
      <c r="C131" s="6" t="s">
        <v>182</v>
      </c>
      <c r="D131" s="6" t="s">
        <v>402</v>
      </c>
      <c r="E131" s="6" t="s">
        <v>805</v>
      </c>
      <c r="F131" s="21">
        <v>8</v>
      </c>
      <c r="G131" s="21">
        <v>0</v>
      </c>
      <c r="H131" s="21">
        <f>F131*AE131</f>
        <v>0</v>
      </c>
      <c r="I131" s="21">
        <f>J131-H131</f>
        <v>0</v>
      </c>
      <c r="J131" s="21">
        <f>F131*G131</f>
        <v>0</v>
      </c>
      <c r="K131" s="21">
        <v>0.0255</v>
      </c>
      <c r="L131" s="21">
        <f>F131*K131</f>
        <v>0.204</v>
      </c>
      <c r="M131" s="32" t="s">
        <v>829</v>
      </c>
      <c r="N131" s="33" t="s">
        <v>831</v>
      </c>
      <c r="O131" s="21">
        <f>IF(N131="5",I131,0)</f>
        <v>0</v>
      </c>
      <c r="Z131" s="21">
        <f>IF(AD131=0,J131,0)</f>
        <v>0</v>
      </c>
      <c r="AA131" s="21">
        <f>IF(AD131=15,J131,0)</f>
        <v>0</v>
      </c>
      <c r="AB131" s="21">
        <f>IF(AD131=21,J131,0)</f>
        <v>0</v>
      </c>
      <c r="AD131" s="36">
        <v>21</v>
      </c>
      <c r="AE131" s="36">
        <f>G131*1</f>
        <v>0</v>
      </c>
      <c r="AF131" s="36">
        <f>G131*(1-1)</f>
        <v>0</v>
      </c>
      <c r="AM131" s="36">
        <f>F131*AE131</f>
        <v>0</v>
      </c>
      <c r="AN131" s="36">
        <f>F131*AF131</f>
        <v>0</v>
      </c>
      <c r="AO131" s="37" t="s">
        <v>849</v>
      </c>
      <c r="AP131" s="37" t="s">
        <v>865</v>
      </c>
      <c r="AQ131" s="29" t="s">
        <v>870</v>
      </c>
    </row>
    <row r="132" spans="4:6" ht="12.75">
      <c r="D132" s="15" t="s">
        <v>403</v>
      </c>
      <c r="F132" s="20">
        <v>8</v>
      </c>
    </row>
    <row r="133" spans="1:43" ht="12.75">
      <c r="A133" s="6" t="s">
        <v>41</v>
      </c>
      <c r="B133" s="6"/>
      <c r="C133" s="6" t="s">
        <v>183</v>
      </c>
      <c r="D133" s="6" t="s">
        <v>404</v>
      </c>
      <c r="E133" s="6" t="s">
        <v>805</v>
      </c>
      <c r="F133" s="21">
        <v>8</v>
      </c>
      <c r="G133" s="21">
        <v>0</v>
      </c>
      <c r="H133" s="21">
        <f>F133*AE133</f>
        <v>0</v>
      </c>
      <c r="I133" s="21">
        <f>J133-H133</f>
        <v>0</v>
      </c>
      <c r="J133" s="21">
        <f>F133*G133</f>
        <v>0</v>
      </c>
      <c r="K133" s="21">
        <v>0.0012</v>
      </c>
      <c r="L133" s="21">
        <f>F133*K133</f>
        <v>0.0096</v>
      </c>
      <c r="M133" s="32" t="s">
        <v>829</v>
      </c>
      <c r="N133" s="33" t="s">
        <v>831</v>
      </c>
      <c r="O133" s="21">
        <f>IF(N133="5",I133,0)</f>
        <v>0</v>
      </c>
      <c r="Z133" s="21">
        <f>IF(AD133=0,J133,0)</f>
        <v>0</v>
      </c>
      <c r="AA133" s="21">
        <f>IF(AD133=15,J133,0)</f>
        <v>0</v>
      </c>
      <c r="AB133" s="21">
        <f>IF(AD133=21,J133,0)</f>
        <v>0</v>
      </c>
      <c r="AD133" s="36">
        <v>21</v>
      </c>
      <c r="AE133" s="36">
        <f>G133*1</f>
        <v>0</v>
      </c>
      <c r="AF133" s="36">
        <f>G133*(1-1)</f>
        <v>0</v>
      </c>
      <c r="AM133" s="36">
        <f>F133*AE133</f>
        <v>0</v>
      </c>
      <c r="AN133" s="36">
        <f>F133*AF133</f>
        <v>0</v>
      </c>
      <c r="AO133" s="37" t="s">
        <v>849</v>
      </c>
      <c r="AP133" s="37" t="s">
        <v>865</v>
      </c>
      <c r="AQ133" s="29" t="s">
        <v>870</v>
      </c>
    </row>
    <row r="134" spans="4:6" ht="12.75">
      <c r="D134" s="15" t="s">
        <v>405</v>
      </c>
      <c r="F134" s="20">
        <v>8</v>
      </c>
    </row>
    <row r="135" spans="1:43" ht="12.75">
      <c r="A135" s="4" t="s">
        <v>42</v>
      </c>
      <c r="B135" s="4"/>
      <c r="C135" s="4" t="s">
        <v>184</v>
      </c>
      <c r="D135" s="4" t="s">
        <v>406</v>
      </c>
      <c r="E135" s="4" t="s">
        <v>808</v>
      </c>
      <c r="F135" s="19">
        <v>8</v>
      </c>
      <c r="G135" s="19">
        <v>0</v>
      </c>
      <c r="H135" s="19">
        <f>F135*AE135</f>
        <v>0</v>
      </c>
      <c r="I135" s="19">
        <f>J135-H135</f>
        <v>0</v>
      </c>
      <c r="J135" s="19">
        <f>F135*G135</f>
        <v>0</v>
      </c>
      <c r="K135" s="19">
        <v>0.00017</v>
      </c>
      <c r="L135" s="19">
        <f>F135*K135</f>
        <v>0.00136</v>
      </c>
      <c r="M135" s="32" t="s">
        <v>829</v>
      </c>
      <c r="N135" s="32" t="s">
        <v>7</v>
      </c>
      <c r="O135" s="19">
        <f>IF(N135="5",I135,0)</f>
        <v>0</v>
      </c>
      <c r="Z135" s="19">
        <f>IF(AD135=0,J135,0)</f>
        <v>0</v>
      </c>
      <c r="AA135" s="19">
        <f>IF(AD135=15,J135,0)</f>
        <v>0</v>
      </c>
      <c r="AB135" s="19">
        <f>IF(AD135=21,J135,0)</f>
        <v>0</v>
      </c>
      <c r="AD135" s="36">
        <v>21</v>
      </c>
      <c r="AE135" s="36">
        <f>G135*0.584923076923077</f>
        <v>0</v>
      </c>
      <c r="AF135" s="36">
        <f>G135*(1-0.584923076923077)</f>
        <v>0</v>
      </c>
      <c r="AM135" s="36">
        <f>F135*AE135</f>
        <v>0</v>
      </c>
      <c r="AN135" s="36">
        <f>F135*AF135</f>
        <v>0</v>
      </c>
      <c r="AO135" s="37" t="s">
        <v>849</v>
      </c>
      <c r="AP135" s="37" t="s">
        <v>865</v>
      </c>
      <c r="AQ135" s="29" t="s">
        <v>870</v>
      </c>
    </row>
    <row r="136" spans="4:6" ht="12.75">
      <c r="D136" s="15" t="s">
        <v>405</v>
      </c>
      <c r="F136" s="20">
        <v>8</v>
      </c>
    </row>
    <row r="137" spans="1:43" ht="12.75">
      <c r="A137" s="4" t="s">
        <v>43</v>
      </c>
      <c r="B137" s="4"/>
      <c r="C137" s="4" t="s">
        <v>185</v>
      </c>
      <c r="D137" s="4" t="s">
        <v>407</v>
      </c>
      <c r="E137" s="4" t="s">
        <v>808</v>
      </c>
      <c r="F137" s="19">
        <v>15</v>
      </c>
      <c r="G137" s="19">
        <v>0</v>
      </c>
      <c r="H137" s="19">
        <f>F137*AE137</f>
        <v>0</v>
      </c>
      <c r="I137" s="19">
        <f>J137-H137</f>
        <v>0</v>
      </c>
      <c r="J137" s="19">
        <f>F137*G137</f>
        <v>0</v>
      </c>
      <c r="K137" s="19">
        <v>0.01946</v>
      </c>
      <c r="L137" s="19">
        <f>F137*K137</f>
        <v>0.29190000000000005</v>
      </c>
      <c r="M137" s="32" t="s">
        <v>829</v>
      </c>
      <c r="N137" s="32" t="s">
        <v>7</v>
      </c>
      <c r="O137" s="19">
        <f>IF(N137="5",I137,0)</f>
        <v>0</v>
      </c>
      <c r="Z137" s="19">
        <f>IF(AD137=0,J137,0)</f>
        <v>0</v>
      </c>
      <c r="AA137" s="19">
        <f>IF(AD137=15,J137,0)</f>
        <v>0</v>
      </c>
      <c r="AB137" s="19">
        <f>IF(AD137=21,J137,0)</f>
        <v>0</v>
      </c>
      <c r="AD137" s="36">
        <v>21</v>
      </c>
      <c r="AE137" s="36">
        <f>G137*0</f>
        <v>0</v>
      </c>
      <c r="AF137" s="36">
        <f>G137*(1-0)</f>
        <v>0</v>
      </c>
      <c r="AM137" s="36">
        <f>F137*AE137</f>
        <v>0</v>
      </c>
      <c r="AN137" s="36">
        <f>F137*AF137</f>
        <v>0</v>
      </c>
      <c r="AO137" s="37" t="s">
        <v>849</v>
      </c>
      <c r="AP137" s="37" t="s">
        <v>865</v>
      </c>
      <c r="AQ137" s="29" t="s">
        <v>870</v>
      </c>
    </row>
    <row r="138" spans="4:6" ht="12.75">
      <c r="D138" s="15" t="s">
        <v>408</v>
      </c>
      <c r="F138" s="20">
        <v>2</v>
      </c>
    </row>
    <row r="139" spans="4:6" ht="12.75">
      <c r="D139" s="15" t="s">
        <v>409</v>
      </c>
      <c r="F139" s="20">
        <v>2</v>
      </c>
    </row>
    <row r="140" spans="4:6" ht="12.75">
      <c r="D140" s="15" t="s">
        <v>410</v>
      </c>
      <c r="F140" s="20">
        <v>2</v>
      </c>
    </row>
    <row r="141" spans="4:6" ht="12.75">
      <c r="D141" s="15" t="s">
        <v>411</v>
      </c>
      <c r="F141" s="20">
        <v>2</v>
      </c>
    </row>
    <row r="142" spans="4:6" ht="12.75">
      <c r="D142" s="15" t="s">
        <v>412</v>
      </c>
      <c r="F142" s="20">
        <v>2</v>
      </c>
    </row>
    <row r="143" spans="4:6" ht="12.75">
      <c r="D143" s="15" t="s">
        <v>413</v>
      </c>
      <c r="F143" s="20">
        <v>2</v>
      </c>
    </row>
    <row r="144" spans="4:6" ht="12.75">
      <c r="D144" s="15" t="s">
        <v>414</v>
      </c>
      <c r="F144" s="20">
        <v>1</v>
      </c>
    </row>
    <row r="145" spans="4:6" ht="12.75">
      <c r="D145" s="15" t="s">
        <v>415</v>
      </c>
      <c r="F145" s="20">
        <v>2</v>
      </c>
    </row>
    <row r="146" spans="1:43" ht="12.75">
      <c r="A146" s="4" t="s">
        <v>44</v>
      </c>
      <c r="B146" s="4"/>
      <c r="C146" s="4" t="s">
        <v>186</v>
      </c>
      <c r="D146" s="4" t="s">
        <v>416</v>
      </c>
      <c r="E146" s="4" t="s">
        <v>808</v>
      </c>
      <c r="F146" s="19">
        <v>15</v>
      </c>
      <c r="G146" s="19">
        <v>0</v>
      </c>
      <c r="H146" s="19">
        <f>F146*AE146</f>
        <v>0</v>
      </c>
      <c r="I146" s="19">
        <f>J146-H146</f>
        <v>0</v>
      </c>
      <c r="J146" s="19">
        <f>F146*G146</f>
        <v>0</v>
      </c>
      <c r="K146" s="19">
        <v>0.00084</v>
      </c>
      <c r="L146" s="19">
        <f>F146*K146</f>
        <v>0.0126</v>
      </c>
      <c r="M146" s="32" t="s">
        <v>829</v>
      </c>
      <c r="N146" s="32" t="s">
        <v>7</v>
      </c>
      <c r="O146" s="19">
        <f>IF(N146="5",I146,0)</f>
        <v>0</v>
      </c>
      <c r="Z146" s="19">
        <f>IF(AD146=0,J146,0)</f>
        <v>0</v>
      </c>
      <c r="AA146" s="19">
        <f>IF(AD146=15,J146,0)</f>
        <v>0</v>
      </c>
      <c r="AB146" s="19">
        <f>IF(AD146=21,J146,0)</f>
        <v>0</v>
      </c>
      <c r="AD146" s="36">
        <v>21</v>
      </c>
      <c r="AE146" s="36">
        <f>G146*0.463565891472868</f>
        <v>0</v>
      </c>
      <c r="AF146" s="36">
        <f>G146*(1-0.463565891472868)</f>
        <v>0</v>
      </c>
      <c r="AM146" s="36">
        <f>F146*AE146</f>
        <v>0</v>
      </c>
      <c r="AN146" s="36">
        <f>F146*AF146</f>
        <v>0</v>
      </c>
      <c r="AO146" s="37" t="s">
        <v>849</v>
      </c>
      <c r="AP146" s="37" t="s">
        <v>865</v>
      </c>
      <c r="AQ146" s="29" t="s">
        <v>870</v>
      </c>
    </row>
    <row r="147" spans="4:6" ht="12.75">
      <c r="D147" s="15" t="s">
        <v>417</v>
      </c>
      <c r="F147" s="20">
        <v>15</v>
      </c>
    </row>
    <row r="148" spans="1:43" ht="12.75">
      <c r="A148" s="6" t="s">
        <v>45</v>
      </c>
      <c r="B148" s="6"/>
      <c r="C148" s="6" t="s">
        <v>187</v>
      </c>
      <c r="D148" s="6" t="s">
        <v>418</v>
      </c>
      <c r="E148" s="6" t="s">
        <v>805</v>
      </c>
      <c r="F148" s="21">
        <v>15</v>
      </c>
      <c r="G148" s="21">
        <v>0</v>
      </c>
      <c r="H148" s="21">
        <f>F148*AE148</f>
        <v>0</v>
      </c>
      <c r="I148" s="21">
        <f>J148-H148</f>
        <v>0</v>
      </c>
      <c r="J148" s="21">
        <f>F148*G148</f>
        <v>0</v>
      </c>
      <c r="K148" s="21">
        <v>0.015</v>
      </c>
      <c r="L148" s="21">
        <f>F148*K148</f>
        <v>0.22499999999999998</v>
      </c>
      <c r="M148" s="32" t="s">
        <v>829</v>
      </c>
      <c r="N148" s="33" t="s">
        <v>831</v>
      </c>
      <c r="O148" s="21">
        <f>IF(N148="5",I148,0)</f>
        <v>0</v>
      </c>
      <c r="Z148" s="21">
        <f>IF(AD148=0,J148,0)</f>
        <v>0</v>
      </c>
      <c r="AA148" s="21">
        <f>IF(AD148=15,J148,0)</f>
        <v>0</v>
      </c>
      <c r="AB148" s="21">
        <f>IF(AD148=21,J148,0)</f>
        <v>0</v>
      </c>
      <c r="AD148" s="36">
        <v>21</v>
      </c>
      <c r="AE148" s="36">
        <f>G148*1</f>
        <v>0</v>
      </c>
      <c r="AF148" s="36">
        <f>G148*(1-1)</f>
        <v>0</v>
      </c>
      <c r="AM148" s="36">
        <f>F148*AE148</f>
        <v>0</v>
      </c>
      <c r="AN148" s="36">
        <f>F148*AF148</f>
        <v>0</v>
      </c>
      <c r="AO148" s="37" t="s">
        <v>849</v>
      </c>
      <c r="AP148" s="37" t="s">
        <v>865</v>
      </c>
      <c r="AQ148" s="29" t="s">
        <v>870</v>
      </c>
    </row>
    <row r="149" spans="4:6" ht="12.75">
      <c r="D149" s="15" t="s">
        <v>419</v>
      </c>
      <c r="F149" s="20">
        <v>15</v>
      </c>
    </row>
    <row r="150" spans="1:43" ht="12.75">
      <c r="A150" s="6" t="s">
        <v>46</v>
      </c>
      <c r="B150" s="6"/>
      <c r="C150" s="6" t="s">
        <v>188</v>
      </c>
      <c r="D150" s="6" t="s">
        <v>420</v>
      </c>
      <c r="E150" s="6" t="s">
        <v>805</v>
      </c>
      <c r="F150" s="21">
        <v>15</v>
      </c>
      <c r="G150" s="21">
        <v>0</v>
      </c>
      <c r="H150" s="21">
        <f>F150*AE150</f>
        <v>0</v>
      </c>
      <c r="I150" s="21">
        <f>J150-H150</f>
        <v>0</v>
      </c>
      <c r="J150" s="21">
        <f>F150*G150</f>
        <v>0</v>
      </c>
      <c r="K150" s="21">
        <v>0</v>
      </c>
      <c r="L150" s="21">
        <f>F150*K150</f>
        <v>0</v>
      </c>
      <c r="M150" s="33" t="s">
        <v>829</v>
      </c>
      <c r="N150" s="33" t="s">
        <v>831</v>
      </c>
      <c r="O150" s="21">
        <f>IF(N150="5",I150,0)</f>
        <v>0</v>
      </c>
      <c r="Z150" s="21">
        <f>IF(AD150=0,J150,0)</f>
        <v>0</v>
      </c>
      <c r="AA150" s="21">
        <f>IF(AD150=15,J150,0)</f>
        <v>0</v>
      </c>
      <c r="AB150" s="21">
        <f>IF(AD150=21,J150,0)</f>
        <v>0</v>
      </c>
      <c r="AD150" s="36">
        <v>21</v>
      </c>
      <c r="AE150" s="36">
        <f>G150*1</f>
        <v>0</v>
      </c>
      <c r="AF150" s="36">
        <f>G150*(1-1)</f>
        <v>0</v>
      </c>
      <c r="AM150" s="36">
        <f>F150*AE150</f>
        <v>0</v>
      </c>
      <c r="AN150" s="36">
        <f>F150*AF150</f>
        <v>0</v>
      </c>
      <c r="AO150" s="37" t="s">
        <v>849</v>
      </c>
      <c r="AP150" s="37" t="s">
        <v>865</v>
      </c>
      <c r="AQ150" s="29" t="s">
        <v>870</v>
      </c>
    </row>
    <row r="151" spans="4:6" ht="12.75">
      <c r="D151" s="15" t="s">
        <v>421</v>
      </c>
      <c r="F151" s="20">
        <v>15</v>
      </c>
    </row>
    <row r="152" spans="1:43" ht="12.75">
      <c r="A152" s="4" t="s">
        <v>47</v>
      </c>
      <c r="B152" s="4"/>
      <c r="C152" s="4" t="s">
        <v>189</v>
      </c>
      <c r="D152" s="4" t="s">
        <v>422</v>
      </c>
      <c r="E152" s="4" t="s">
        <v>805</v>
      </c>
      <c r="F152" s="19">
        <v>15</v>
      </c>
      <c r="G152" s="19">
        <v>0</v>
      </c>
      <c r="H152" s="19">
        <f>F152*AE152</f>
        <v>0</v>
      </c>
      <c r="I152" s="19">
        <f>J152-H152</f>
        <v>0</v>
      </c>
      <c r="J152" s="19">
        <f>F152*G152</f>
        <v>0</v>
      </c>
      <c r="K152" s="19">
        <v>0.00042</v>
      </c>
      <c r="L152" s="19">
        <f>F152*K152</f>
        <v>0.0063</v>
      </c>
      <c r="M152" s="32" t="s">
        <v>829</v>
      </c>
      <c r="N152" s="32" t="s">
        <v>7</v>
      </c>
      <c r="O152" s="19">
        <f>IF(N152="5",I152,0)</f>
        <v>0</v>
      </c>
      <c r="Z152" s="19">
        <f>IF(AD152=0,J152,0)</f>
        <v>0</v>
      </c>
      <c r="AA152" s="19">
        <f>IF(AD152=15,J152,0)</f>
        <v>0</v>
      </c>
      <c r="AB152" s="19">
        <f>IF(AD152=21,J152,0)</f>
        <v>0</v>
      </c>
      <c r="AD152" s="36">
        <v>21</v>
      </c>
      <c r="AE152" s="36">
        <f>G152*0.553369863013699</f>
        <v>0</v>
      </c>
      <c r="AF152" s="36">
        <f>G152*(1-0.553369863013699)</f>
        <v>0</v>
      </c>
      <c r="AM152" s="36">
        <f>F152*AE152</f>
        <v>0</v>
      </c>
      <c r="AN152" s="36">
        <f>F152*AF152</f>
        <v>0</v>
      </c>
      <c r="AO152" s="37" t="s">
        <v>849</v>
      </c>
      <c r="AP152" s="37" t="s">
        <v>865</v>
      </c>
      <c r="AQ152" s="29" t="s">
        <v>870</v>
      </c>
    </row>
    <row r="153" spans="4:6" ht="12.75">
      <c r="D153" s="15" t="s">
        <v>421</v>
      </c>
      <c r="F153" s="20">
        <v>15</v>
      </c>
    </row>
    <row r="154" spans="1:43" ht="12.75">
      <c r="A154" s="4" t="s">
        <v>48</v>
      </c>
      <c r="B154" s="4"/>
      <c r="C154" s="4" t="s">
        <v>190</v>
      </c>
      <c r="D154" s="4" t="s">
        <v>423</v>
      </c>
      <c r="E154" s="4" t="s">
        <v>808</v>
      </c>
      <c r="F154" s="19">
        <v>15</v>
      </c>
      <c r="G154" s="19">
        <v>0</v>
      </c>
      <c r="H154" s="19">
        <f>F154*AE154</f>
        <v>0</v>
      </c>
      <c r="I154" s="19">
        <f>J154-H154</f>
        <v>0</v>
      </c>
      <c r="J154" s="19">
        <f>F154*G154</f>
        <v>0</v>
      </c>
      <c r="K154" s="19">
        <v>0.00156</v>
      </c>
      <c r="L154" s="19">
        <f>F154*K154</f>
        <v>0.0234</v>
      </c>
      <c r="M154" s="32" t="s">
        <v>829</v>
      </c>
      <c r="N154" s="32" t="s">
        <v>7</v>
      </c>
      <c r="O154" s="19">
        <f>IF(N154="5",I154,0)</f>
        <v>0</v>
      </c>
      <c r="Z154" s="19">
        <f>IF(AD154=0,J154,0)</f>
        <v>0</v>
      </c>
      <c r="AA154" s="19">
        <f>IF(AD154=15,J154,0)</f>
        <v>0</v>
      </c>
      <c r="AB154" s="19">
        <f>IF(AD154=21,J154,0)</f>
        <v>0</v>
      </c>
      <c r="AD154" s="36">
        <v>21</v>
      </c>
      <c r="AE154" s="36">
        <f>G154*0</f>
        <v>0</v>
      </c>
      <c r="AF154" s="36">
        <f>G154*(1-0)</f>
        <v>0</v>
      </c>
      <c r="AM154" s="36">
        <f>F154*AE154</f>
        <v>0</v>
      </c>
      <c r="AN154" s="36">
        <f>F154*AF154</f>
        <v>0</v>
      </c>
      <c r="AO154" s="37" t="s">
        <v>849</v>
      </c>
      <c r="AP154" s="37" t="s">
        <v>865</v>
      </c>
      <c r="AQ154" s="29" t="s">
        <v>870</v>
      </c>
    </row>
    <row r="155" spans="4:6" ht="12.75">
      <c r="D155" s="15" t="s">
        <v>421</v>
      </c>
      <c r="F155" s="20">
        <v>15</v>
      </c>
    </row>
    <row r="156" spans="1:43" ht="12.75">
      <c r="A156" s="4" t="s">
        <v>49</v>
      </c>
      <c r="B156" s="4"/>
      <c r="C156" s="4" t="s">
        <v>191</v>
      </c>
      <c r="D156" s="4" t="s">
        <v>424</v>
      </c>
      <c r="E156" s="4" t="s">
        <v>805</v>
      </c>
      <c r="F156" s="19">
        <v>15</v>
      </c>
      <c r="G156" s="19">
        <v>0</v>
      </c>
      <c r="H156" s="19">
        <f>F156*AE156</f>
        <v>0</v>
      </c>
      <c r="I156" s="19">
        <f>J156-H156</f>
        <v>0</v>
      </c>
      <c r="J156" s="19">
        <f>F156*G156</f>
        <v>0</v>
      </c>
      <c r="K156" s="19">
        <v>0.00018</v>
      </c>
      <c r="L156" s="19">
        <f>F156*K156</f>
        <v>0.0027</v>
      </c>
      <c r="M156" s="32" t="s">
        <v>829</v>
      </c>
      <c r="N156" s="32" t="s">
        <v>7</v>
      </c>
      <c r="O156" s="19">
        <f>IF(N156="5",I156,0)</f>
        <v>0</v>
      </c>
      <c r="Z156" s="19">
        <f>IF(AD156=0,J156,0)</f>
        <v>0</v>
      </c>
      <c r="AA156" s="19">
        <f>IF(AD156=15,J156,0)</f>
        <v>0</v>
      </c>
      <c r="AB156" s="19">
        <f>IF(AD156=21,J156,0)</f>
        <v>0</v>
      </c>
      <c r="AD156" s="36">
        <v>21</v>
      </c>
      <c r="AE156" s="36">
        <f>G156*0.349581426038187</f>
        <v>0</v>
      </c>
      <c r="AF156" s="36">
        <f>G156*(1-0.349581426038187)</f>
        <v>0</v>
      </c>
      <c r="AM156" s="36">
        <f>F156*AE156</f>
        <v>0</v>
      </c>
      <c r="AN156" s="36">
        <f>F156*AF156</f>
        <v>0</v>
      </c>
      <c r="AO156" s="37" t="s">
        <v>849</v>
      </c>
      <c r="AP156" s="37" t="s">
        <v>865</v>
      </c>
      <c r="AQ156" s="29" t="s">
        <v>870</v>
      </c>
    </row>
    <row r="157" spans="4:6" ht="12.75">
      <c r="D157" s="15" t="s">
        <v>425</v>
      </c>
      <c r="F157" s="20">
        <v>15</v>
      </c>
    </row>
    <row r="158" spans="1:43" ht="12.75">
      <c r="A158" s="6" t="s">
        <v>50</v>
      </c>
      <c r="B158" s="6"/>
      <c r="C158" s="6" t="s">
        <v>192</v>
      </c>
      <c r="D158" s="6" t="s">
        <v>426</v>
      </c>
      <c r="E158" s="6" t="s">
        <v>805</v>
      </c>
      <c r="F158" s="21">
        <v>15</v>
      </c>
      <c r="G158" s="21">
        <v>0</v>
      </c>
      <c r="H158" s="21">
        <f>F158*AE158</f>
        <v>0</v>
      </c>
      <c r="I158" s="21">
        <f>J158-H158</f>
        <v>0</v>
      </c>
      <c r="J158" s="21">
        <f>F158*G158</f>
        <v>0</v>
      </c>
      <c r="K158" s="21">
        <v>0.0012</v>
      </c>
      <c r="L158" s="21">
        <f>F158*K158</f>
        <v>0.018</v>
      </c>
      <c r="M158" s="32" t="s">
        <v>829</v>
      </c>
      <c r="N158" s="33" t="s">
        <v>831</v>
      </c>
      <c r="O158" s="21">
        <f>IF(N158="5",I158,0)</f>
        <v>0</v>
      </c>
      <c r="Z158" s="21">
        <f>IF(AD158=0,J158,0)</f>
        <v>0</v>
      </c>
      <c r="AA158" s="21">
        <f>IF(AD158=15,J158,0)</f>
        <v>0</v>
      </c>
      <c r="AB158" s="21">
        <f>IF(AD158=21,J158,0)</f>
        <v>0</v>
      </c>
      <c r="AD158" s="36">
        <v>21</v>
      </c>
      <c r="AE158" s="36">
        <f>G158*1</f>
        <v>0</v>
      </c>
      <c r="AF158" s="36">
        <f>G158*(1-1)</f>
        <v>0</v>
      </c>
      <c r="AM158" s="36">
        <f>F158*AE158</f>
        <v>0</v>
      </c>
      <c r="AN158" s="36">
        <f>F158*AF158</f>
        <v>0</v>
      </c>
      <c r="AO158" s="37" t="s">
        <v>849</v>
      </c>
      <c r="AP158" s="37" t="s">
        <v>865</v>
      </c>
      <c r="AQ158" s="29" t="s">
        <v>870</v>
      </c>
    </row>
    <row r="159" spans="4:6" ht="12.75">
      <c r="D159" s="15" t="s">
        <v>427</v>
      </c>
      <c r="F159" s="20">
        <v>15</v>
      </c>
    </row>
    <row r="160" spans="1:43" ht="12.75">
      <c r="A160" s="4" t="s">
        <v>51</v>
      </c>
      <c r="B160" s="4"/>
      <c r="C160" s="4" t="s">
        <v>193</v>
      </c>
      <c r="D160" s="4" t="s">
        <v>428</v>
      </c>
      <c r="E160" s="4" t="s">
        <v>808</v>
      </c>
      <c r="F160" s="19">
        <v>2</v>
      </c>
      <c r="G160" s="19">
        <v>0</v>
      </c>
      <c r="H160" s="19">
        <f>F160*AE160</f>
        <v>0</v>
      </c>
      <c r="I160" s="19">
        <f>J160-H160</f>
        <v>0</v>
      </c>
      <c r="J160" s="19">
        <f>F160*G160</f>
        <v>0</v>
      </c>
      <c r="K160" s="19">
        <v>0.0092</v>
      </c>
      <c r="L160" s="19">
        <f>F160*K160</f>
        <v>0.0184</v>
      </c>
      <c r="M160" s="32" t="s">
        <v>829</v>
      </c>
      <c r="N160" s="32" t="s">
        <v>7</v>
      </c>
      <c r="O160" s="19">
        <f>IF(N160="5",I160,0)</f>
        <v>0</v>
      </c>
      <c r="Z160" s="19">
        <f>IF(AD160=0,J160,0)</f>
        <v>0</v>
      </c>
      <c r="AA160" s="19">
        <f>IF(AD160=15,J160,0)</f>
        <v>0</v>
      </c>
      <c r="AB160" s="19">
        <f>IF(AD160=21,J160,0)</f>
        <v>0</v>
      </c>
      <c r="AD160" s="36">
        <v>21</v>
      </c>
      <c r="AE160" s="36">
        <f>G160*0</f>
        <v>0</v>
      </c>
      <c r="AF160" s="36">
        <f>G160*(1-0)</f>
        <v>0</v>
      </c>
      <c r="AM160" s="36">
        <f>F160*AE160</f>
        <v>0</v>
      </c>
      <c r="AN160" s="36">
        <f>F160*AF160</f>
        <v>0</v>
      </c>
      <c r="AO160" s="37" t="s">
        <v>849</v>
      </c>
      <c r="AP160" s="37" t="s">
        <v>865</v>
      </c>
      <c r="AQ160" s="29" t="s">
        <v>870</v>
      </c>
    </row>
    <row r="161" spans="4:6" ht="12.75">
      <c r="D161" s="15" t="s">
        <v>429</v>
      </c>
      <c r="F161" s="20">
        <v>1</v>
      </c>
    </row>
    <row r="162" spans="4:6" ht="12.75">
      <c r="D162" s="15" t="s">
        <v>430</v>
      </c>
      <c r="F162" s="20">
        <v>1</v>
      </c>
    </row>
    <row r="163" spans="1:43" ht="12.75">
      <c r="A163" s="4" t="s">
        <v>52</v>
      </c>
      <c r="B163" s="4"/>
      <c r="C163" s="4" t="s">
        <v>194</v>
      </c>
      <c r="D163" s="4" t="s">
        <v>431</v>
      </c>
      <c r="E163" s="4" t="s">
        <v>808</v>
      </c>
      <c r="F163" s="19">
        <v>2</v>
      </c>
      <c r="G163" s="19">
        <v>0</v>
      </c>
      <c r="H163" s="19">
        <f>F163*AE163</f>
        <v>0</v>
      </c>
      <c r="I163" s="19">
        <f>J163-H163</f>
        <v>0</v>
      </c>
      <c r="J163" s="19">
        <f>F163*G163</f>
        <v>0</v>
      </c>
      <c r="K163" s="19">
        <v>0.00072</v>
      </c>
      <c r="L163" s="19">
        <f>F163*K163</f>
        <v>0.00144</v>
      </c>
      <c r="M163" s="32" t="s">
        <v>829</v>
      </c>
      <c r="N163" s="32" t="s">
        <v>7</v>
      </c>
      <c r="O163" s="19">
        <f>IF(N163="5",I163,0)</f>
        <v>0</v>
      </c>
      <c r="Z163" s="19">
        <f>IF(AD163=0,J163,0)</f>
        <v>0</v>
      </c>
      <c r="AA163" s="19">
        <f>IF(AD163=15,J163,0)</f>
        <v>0</v>
      </c>
      <c r="AB163" s="19">
        <f>IF(AD163=21,J163,0)</f>
        <v>0</v>
      </c>
      <c r="AD163" s="36">
        <v>21</v>
      </c>
      <c r="AE163" s="36">
        <f>G163*0.735952755905512</f>
        <v>0</v>
      </c>
      <c r="AF163" s="36">
        <f>G163*(1-0.735952755905512)</f>
        <v>0</v>
      </c>
      <c r="AM163" s="36">
        <f>F163*AE163</f>
        <v>0</v>
      </c>
      <c r="AN163" s="36">
        <f>F163*AF163</f>
        <v>0</v>
      </c>
      <c r="AO163" s="37" t="s">
        <v>849</v>
      </c>
      <c r="AP163" s="37" t="s">
        <v>865</v>
      </c>
      <c r="AQ163" s="29" t="s">
        <v>870</v>
      </c>
    </row>
    <row r="164" spans="4:6" ht="12.75">
      <c r="D164" s="15" t="s">
        <v>432</v>
      </c>
      <c r="F164" s="20">
        <v>2</v>
      </c>
    </row>
    <row r="165" spans="1:43" ht="12.75">
      <c r="A165" s="6" t="s">
        <v>53</v>
      </c>
      <c r="B165" s="6"/>
      <c r="C165" s="6" t="s">
        <v>195</v>
      </c>
      <c r="D165" s="6" t="s">
        <v>433</v>
      </c>
      <c r="E165" s="6" t="s">
        <v>805</v>
      </c>
      <c r="F165" s="21">
        <v>2</v>
      </c>
      <c r="G165" s="21">
        <v>0</v>
      </c>
      <c r="H165" s="21">
        <f>F165*AE165</f>
        <v>0</v>
      </c>
      <c r="I165" s="21">
        <f>J165-H165</f>
        <v>0</v>
      </c>
      <c r="J165" s="21">
        <f>F165*G165</f>
        <v>0</v>
      </c>
      <c r="K165" s="21">
        <v>0.006</v>
      </c>
      <c r="L165" s="21">
        <f>F165*K165</f>
        <v>0.012</v>
      </c>
      <c r="M165" s="32" t="s">
        <v>829</v>
      </c>
      <c r="N165" s="33" t="s">
        <v>831</v>
      </c>
      <c r="O165" s="21">
        <f>IF(N165="5",I165,0)</f>
        <v>0</v>
      </c>
      <c r="Z165" s="21">
        <f>IF(AD165=0,J165,0)</f>
        <v>0</v>
      </c>
      <c r="AA165" s="21">
        <f>IF(AD165=15,J165,0)</f>
        <v>0</v>
      </c>
      <c r="AB165" s="21">
        <f>IF(AD165=21,J165,0)</f>
        <v>0</v>
      </c>
      <c r="AD165" s="36">
        <v>21</v>
      </c>
      <c r="AE165" s="36">
        <f>G165*1</f>
        <v>0</v>
      </c>
      <c r="AF165" s="36">
        <f>G165*(1-1)</f>
        <v>0</v>
      </c>
      <c r="AM165" s="36">
        <f>F165*AE165</f>
        <v>0</v>
      </c>
      <c r="AN165" s="36">
        <f>F165*AF165</f>
        <v>0</v>
      </c>
      <c r="AO165" s="37" t="s">
        <v>849</v>
      </c>
      <c r="AP165" s="37" t="s">
        <v>865</v>
      </c>
      <c r="AQ165" s="29" t="s">
        <v>870</v>
      </c>
    </row>
    <row r="166" spans="4:6" ht="12.75">
      <c r="D166" s="15" t="s">
        <v>434</v>
      </c>
      <c r="F166" s="20">
        <v>2</v>
      </c>
    </row>
    <row r="167" spans="1:43" ht="12.75">
      <c r="A167" s="6" t="s">
        <v>54</v>
      </c>
      <c r="B167" s="6"/>
      <c r="C167" s="6" t="s">
        <v>196</v>
      </c>
      <c r="D167" s="6" t="s">
        <v>435</v>
      </c>
      <c r="E167" s="6" t="s">
        <v>805</v>
      </c>
      <c r="F167" s="21">
        <v>2</v>
      </c>
      <c r="G167" s="21">
        <v>0</v>
      </c>
      <c r="H167" s="21">
        <f>F167*AE167</f>
        <v>0</v>
      </c>
      <c r="I167" s="21">
        <f>J167-H167</f>
        <v>0</v>
      </c>
      <c r="J167" s="21">
        <f>F167*G167</f>
        <v>0</v>
      </c>
      <c r="K167" s="21">
        <v>0.00032</v>
      </c>
      <c r="L167" s="21">
        <f>F167*K167</f>
        <v>0.00064</v>
      </c>
      <c r="M167" s="33" t="s">
        <v>829</v>
      </c>
      <c r="N167" s="33" t="s">
        <v>831</v>
      </c>
      <c r="O167" s="21">
        <f>IF(N167="5",I167,0)</f>
        <v>0</v>
      </c>
      <c r="Z167" s="21">
        <f>IF(AD167=0,J167,0)</f>
        <v>0</v>
      </c>
      <c r="AA167" s="21">
        <f>IF(AD167=15,J167,0)</f>
        <v>0</v>
      </c>
      <c r="AB167" s="21">
        <f>IF(AD167=21,J167,0)</f>
        <v>0</v>
      </c>
      <c r="AD167" s="36">
        <v>21</v>
      </c>
      <c r="AE167" s="36">
        <f>G167*1</f>
        <v>0</v>
      </c>
      <c r="AF167" s="36">
        <f>G167*(1-1)</f>
        <v>0</v>
      </c>
      <c r="AM167" s="36">
        <f>F167*AE167</f>
        <v>0</v>
      </c>
      <c r="AN167" s="36">
        <f>F167*AF167</f>
        <v>0</v>
      </c>
      <c r="AO167" s="37" t="s">
        <v>849</v>
      </c>
      <c r="AP167" s="37" t="s">
        <v>865</v>
      </c>
      <c r="AQ167" s="29" t="s">
        <v>870</v>
      </c>
    </row>
    <row r="168" spans="4:6" ht="12.75">
      <c r="D168" s="15" t="s">
        <v>436</v>
      </c>
      <c r="F168" s="20">
        <v>2</v>
      </c>
    </row>
    <row r="169" spans="1:43" ht="12.75">
      <c r="A169" s="4" t="s">
        <v>55</v>
      </c>
      <c r="B169" s="4"/>
      <c r="C169" s="4" t="s">
        <v>189</v>
      </c>
      <c r="D169" s="4" t="s">
        <v>437</v>
      </c>
      <c r="E169" s="4" t="s">
        <v>805</v>
      </c>
      <c r="F169" s="19">
        <v>2</v>
      </c>
      <c r="G169" s="19">
        <v>0</v>
      </c>
      <c r="H169" s="19">
        <f>F169*AE169</f>
        <v>0</v>
      </c>
      <c r="I169" s="19">
        <f>J169-H169</f>
        <v>0</v>
      </c>
      <c r="J169" s="19">
        <f>F169*G169</f>
        <v>0</v>
      </c>
      <c r="K169" s="19">
        <v>0.00042</v>
      </c>
      <c r="L169" s="19">
        <f>F169*K169</f>
        <v>0.00084</v>
      </c>
      <c r="M169" s="32" t="s">
        <v>829</v>
      </c>
      <c r="N169" s="32" t="s">
        <v>7</v>
      </c>
      <c r="O169" s="19">
        <f>IF(N169="5",I169,0)</f>
        <v>0</v>
      </c>
      <c r="Z169" s="19">
        <f>IF(AD169=0,J169,0)</f>
        <v>0</v>
      </c>
      <c r="AA169" s="19">
        <f>IF(AD169=15,J169,0)</f>
        <v>0</v>
      </c>
      <c r="AB169" s="19">
        <f>IF(AD169=21,J169,0)</f>
        <v>0</v>
      </c>
      <c r="AD169" s="36">
        <v>21</v>
      </c>
      <c r="AE169" s="36">
        <f>G169*0.553369863013699</f>
        <v>0</v>
      </c>
      <c r="AF169" s="36">
        <f>G169*(1-0.553369863013699)</f>
        <v>0</v>
      </c>
      <c r="AM169" s="36">
        <f>F169*AE169</f>
        <v>0</v>
      </c>
      <c r="AN169" s="36">
        <f>F169*AF169</f>
        <v>0</v>
      </c>
      <c r="AO169" s="37" t="s">
        <v>849</v>
      </c>
      <c r="AP169" s="37" t="s">
        <v>865</v>
      </c>
      <c r="AQ169" s="29" t="s">
        <v>870</v>
      </c>
    </row>
    <row r="170" spans="4:6" ht="12.75">
      <c r="D170" s="15" t="s">
        <v>436</v>
      </c>
      <c r="F170" s="20">
        <v>2</v>
      </c>
    </row>
    <row r="171" spans="1:43" ht="12.75">
      <c r="A171" s="4" t="s">
        <v>56</v>
      </c>
      <c r="B171" s="4"/>
      <c r="C171" s="4" t="s">
        <v>190</v>
      </c>
      <c r="D171" s="4" t="s">
        <v>438</v>
      </c>
      <c r="E171" s="4" t="s">
        <v>808</v>
      </c>
      <c r="F171" s="19">
        <v>2</v>
      </c>
      <c r="G171" s="19">
        <v>0</v>
      </c>
      <c r="H171" s="19">
        <f>F171*AE171</f>
        <v>0</v>
      </c>
      <c r="I171" s="19">
        <f>J171-H171</f>
        <v>0</v>
      </c>
      <c r="J171" s="19">
        <f>F171*G171</f>
        <v>0</v>
      </c>
      <c r="K171" s="19">
        <v>0.00156</v>
      </c>
      <c r="L171" s="19">
        <f>F171*K171</f>
        <v>0.00312</v>
      </c>
      <c r="M171" s="32" t="s">
        <v>829</v>
      </c>
      <c r="N171" s="32" t="s">
        <v>7</v>
      </c>
      <c r="O171" s="19">
        <f>IF(N171="5",I171,0)</f>
        <v>0</v>
      </c>
      <c r="Z171" s="19">
        <f>IF(AD171=0,J171,0)</f>
        <v>0</v>
      </c>
      <c r="AA171" s="19">
        <f>IF(AD171=15,J171,0)</f>
        <v>0</v>
      </c>
      <c r="AB171" s="19">
        <f>IF(AD171=21,J171,0)</f>
        <v>0</v>
      </c>
      <c r="AD171" s="36">
        <v>21</v>
      </c>
      <c r="AE171" s="36">
        <f>G171*0</f>
        <v>0</v>
      </c>
      <c r="AF171" s="36">
        <f>G171*(1-0)</f>
        <v>0</v>
      </c>
      <c r="AM171" s="36">
        <f>F171*AE171</f>
        <v>0</v>
      </c>
      <c r="AN171" s="36">
        <f>F171*AF171</f>
        <v>0</v>
      </c>
      <c r="AO171" s="37" t="s">
        <v>849</v>
      </c>
      <c r="AP171" s="37" t="s">
        <v>865</v>
      </c>
      <c r="AQ171" s="29" t="s">
        <v>870</v>
      </c>
    </row>
    <row r="172" spans="4:6" ht="12.75">
      <c r="D172" s="15" t="s">
        <v>436</v>
      </c>
      <c r="F172" s="20">
        <v>2</v>
      </c>
    </row>
    <row r="173" spans="1:43" ht="12.75">
      <c r="A173" s="4" t="s">
        <v>57</v>
      </c>
      <c r="B173" s="4"/>
      <c r="C173" s="4" t="s">
        <v>191</v>
      </c>
      <c r="D173" s="4" t="s">
        <v>439</v>
      </c>
      <c r="E173" s="4" t="s">
        <v>805</v>
      </c>
      <c r="F173" s="19">
        <v>2</v>
      </c>
      <c r="G173" s="19">
        <v>0</v>
      </c>
      <c r="H173" s="19">
        <f>F173*AE173</f>
        <v>0</v>
      </c>
      <c r="I173" s="19">
        <f>J173-H173</f>
        <v>0</v>
      </c>
      <c r="J173" s="19">
        <f>F173*G173</f>
        <v>0</v>
      </c>
      <c r="K173" s="19">
        <v>0.00018</v>
      </c>
      <c r="L173" s="19">
        <f>F173*K173</f>
        <v>0.00036</v>
      </c>
      <c r="M173" s="32" t="s">
        <v>829</v>
      </c>
      <c r="N173" s="32" t="s">
        <v>7</v>
      </c>
      <c r="O173" s="19">
        <f>IF(N173="5",I173,0)</f>
        <v>0</v>
      </c>
      <c r="Z173" s="19">
        <f>IF(AD173=0,J173,0)</f>
        <v>0</v>
      </c>
      <c r="AA173" s="19">
        <f>IF(AD173=15,J173,0)</f>
        <v>0</v>
      </c>
      <c r="AB173" s="19">
        <f>IF(AD173=21,J173,0)</f>
        <v>0</v>
      </c>
      <c r="AD173" s="36">
        <v>21</v>
      </c>
      <c r="AE173" s="36">
        <f>G173*0.349581426038187</f>
        <v>0</v>
      </c>
      <c r="AF173" s="36">
        <f>G173*(1-0.349581426038187)</f>
        <v>0</v>
      </c>
      <c r="AM173" s="36">
        <f>F173*AE173</f>
        <v>0</v>
      </c>
      <c r="AN173" s="36">
        <f>F173*AF173</f>
        <v>0</v>
      </c>
      <c r="AO173" s="37" t="s">
        <v>849</v>
      </c>
      <c r="AP173" s="37" t="s">
        <v>865</v>
      </c>
      <c r="AQ173" s="29" t="s">
        <v>870</v>
      </c>
    </row>
    <row r="174" spans="4:6" ht="12.75">
      <c r="D174" s="15" t="s">
        <v>440</v>
      </c>
      <c r="F174" s="20">
        <v>2</v>
      </c>
    </row>
    <row r="175" spans="1:43" ht="12.75">
      <c r="A175" s="6" t="s">
        <v>58</v>
      </c>
      <c r="B175" s="6"/>
      <c r="C175" s="6" t="s">
        <v>197</v>
      </c>
      <c r="D175" s="6" t="s">
        <v>441</v>
      </c>
      <c r="E175" s="6" t="s">
        <v>805</v>
      </c>
      <c r="F175" s="21">
        <v>2</v>
      </c>
      <c r="G175" s="21">
        <v>0</v>
      </c>
      <c r="H175" s="21">
        <f>F175*AE175</f>
        <v>0</v>
      </c>
      <c r="I175" s="21">
        <f>J175-H175</f>
        <v>0</v>
      </c>
      <c r="J175" s="21">
        <f>F175*G175</f>
        <v>0</v>
      </c>
      <c r="K175" s="21">
        <v>0.001</v>
      </c>
      <c r="L175" s="21">
        <f>F175*K175</f>
        <v>0.002</v>
      </c>
      <c r="M175" s="32" t="s">
        <v>829</v>
      </c>
      <c r="N175" s="33" t="s">
        <v>831</v>
      </c>
      <c r="O175" s="21">
        <f>IF(N175="5",I175,0)</f>
        <v>0</v>
      </c>
      <c r="Z175" s="21">
        <f>IF(AD175=0,J175,0)</f>
        <v>0</v>
      </c>
      <c r="AA175" s="21">
        <f>IF(AD175=15,J175,0)</f>
        <v>0</v>
      </c>
      <c r="AB175" s="21">
        <f>IF(AD175=21,J175,0)</f>
        <v>0</v>
      </c>
      <c r="AD175" s="36">
        <v>21</v>
      </c>
      <c r="AE175" s="36">
        <f>G175*1</f>
        <v>0</v>
      </c>
      <c r="AF175" s="36">
        <f>G175*(1-1)</f>
        <v>0</v>
      </c>
      <c r="AM175" s="36">
        <f>F175*AE175</f>
        <v>0</v>
      </c>
      <c r="AN175" s="36">
        <f>F175*AF175</f>
        <v>0</v>
      </c>
      <c r="AO175" s="37" t="s">
        <v>849</v>
      </c>
      <c r="AP175" s="37" t="s">
        <v>865</v>
      </c>
      <c r="AQ175" s="29" t="s">
        <v>870</v>
      </c>
    </row>
    <row r="176" spans="4:6" ht="12.75">
      <c r="D176" s="15" t="s">
        <v>442</v>
      </c>
      <c r="F176" s="20">
        <v>2</v>
      </c>
    </row>
    <row r="177" spans="1:43" ht="12.75">
      <c r="A177" s="4" t="s">
        <v>59</v>
      </c>
      <c r="B177" s="4"/>
      <c r="C177" s="4" t="s">
        <v>198</v>
      </c>
      <c r="D177" s="4" t="s">
        <v>443</v>
      </c>
      <c r="E177" s="4" t="s">
        <v>808</v>
      </c>
      <c r="F177" s="19">
        <v>1</v>
      </c>
      <c r="G177" s="19">
        <v>0</v>
      </c>
      <c r="H177" s="19">
        <f>F177*AE177</f>
        <v>0</v>
      </c>
      <c r="I177" s="19">
        <f>J177-H177</f>
        <v>0</v>
      </c>
      <c r="J177" s="19">
        <f>F177*G177</f>
        <v>0</v>
      </c>
      <c r="K177" s="19">
        <v>0.0188</v>
      </c>
      <c r="L177" s="19">
        <f>F177*K177</f>
        <v>0.0188</v>
      </c>
      <c r="M177" s="32" t="s">
        <v>829</v>
      </c>
      <c r="N177" s="32" t="s">
        <v>7</v>
      </c>
      <c r="O177" s="19">
        <f>IF(N177="5",I177,0)</f>
        <v>0</v>
      </c>
      <c r="Z177" s="19">
        <f>IF(AD177=0,J177,0)</f>
        <v>0</v>
      </c>
      <c r="AA177" s="19">
        <f>IF(AD177=15,J177,0)</f>
        <v>0</v>
      </c>
      <c r="AB177" s="19">
        <f>IF(AD177=21,J177,0)</f>
        <v>0</v>
      </c>
      <c r="AD177" s="36">
        <v>21</v>
      </c>
      <c r="AE177" s="36">
        <f>G177*0</f>
        <v>0</v>
      </c>
      <c r="AF177" s="36">
        <f>G177*(1-0)</f>
        <v>0</v>
      </c>
      <c r="AM177" s="36">
        <f>F177*AE177</f>
        <v>0</v>
      </c>
      <c r="AN177" s="36">
        <f>F177*AF177</f>
        <v>0</v>
      </c>
      <c r="AO177" s="37" t="s">
        <v>849</v>
      </c>
      <c r="AP177" s="37" t="s">
        <v>865</v>
      </c>
      <c r="AQ177" s="29" t="s">
        <v>870</v>
      </c>
    </row>
    <row r="178" spans="4:6" ht="12.75">
      <c r="D178" s="15" t="s">
        <v>444</v>
      </c>
      <c r="F178" s="20">
        <v>1</v>
      </c>
    </row>
    <row r="179" spans="1:43" ht="12.75">
      <c r="A179" s="4" t="s">
        <v>60</v>
      </c>
      <c r="B179" s="4"/>
      <c r="C179" s="4" t="s">
        <v>199</v>
      </c>
      <c r="D179" s="4" t="s">
        <v>445</v>
      </c>
      <c r="E179" s="4" t="s">
        <v>805</v>
      </c>
      <c r="F179" s="19">
        <v>1</v>
      </c>
      <c r="G179" s="19">
        <v>0</v>
      </c>
      <c r="H179" s="19">
        <f>F179*AE179</f>
        <v>0</v>
      </c>
      <c r="I179" s="19">
        <f>J179-H179</f>
        <v>0</v>
      </c>
      <c r="J179" s="19">
        <f>F179*G179</f>
        <v>0</v>
      </c>
      <c r="K179" s="19">
        <v>0.00309</v>
      </c>
      <c r="L179" s="19">
        <f>F179*K179</f>
        <v>0.00309</v>
      </c>
      <c r="M179" s="32" t="s">
        <v>829</v>
      </c>
      <c r="N179" s="32" t="s">
        <v>7</v>
      </c>
      <c r="O179" s="19">
        <f>IF(N179="5",I179,0)</f>
        <v>0</v>
      </c>
      <c r="Z179" s="19">
        <f>IF(AD179=0,J179,0)</f>
        <v>0</v>
      </c>
      <c r="AA179" s="19">
        <f>IF(AD179=15,J179,0)</f>
        <v>0</v>
      </c>
      <c r="AB179" s="19">
        <f>IF(AD179=21,J179,0)</f>
        <v>0</v>
      </c>
      <c r="AD179" s="36">
        <v>21</v>
      </c>
      <c r="AE179" s="36">
        <f>G179*0.399394387001477</f>
        <v>0</v>
      </c>
      <c r="AF179" s="36">
        <f>G179*(1-0.399394387001477)</f>
        <v>0</v>
      </c>
      <c r="AM179" s="36">
        <f>F179*AE179</f>
        <v>0</v>
      </c>
      <c r="AN179" s="36">
        <f>F179*AF179</f>
        <v>0</v>
      </c>
      <c r="AO179" s="37" t="s">
        <v>849</v>
      </c>
      <c r="AP179" s="37" t="s">
        <v>865</v>
      </c>
      <c r="AQ179" s="29" t="s">
        <v>870</v>
      </c>
    </row>
    <row r="180" spans="4:6" ht="12.75">
      <c r="D180" s="15" t="s">
        <v>446</v>
      </c>
      <c r="F180" s="20">
        <v>1</v>
      </c>
    </row>
    <row r="181" spans="1:43" ht="12.75">
      <c r="A181" s="6" t="s">
        <v>61</v>
      </c>
      <c r="B181" s="6"/>
      <c r="C181" s="6" t="s">
        <v>200</v>
      </c>
      <c r="D181" s="6" t="s">
        <v>447</v>
      </c>
      <c r="E181" s="6" t="s">
        <v>805</v>
      </c>
      <c r="F181" s="21">
        <v>1</v>
      </c>
      <c r="G181" s="21">
        <v>0</v>
      </c>
      <c r="H181" s="21">
        <f>F181*AE181</f>
        <v>0</v>
      </c>
      <c r="I181" s="21">
        <f>J181-H181</f>
        <v>0</v>
      </c>
      <c r="J181" s="21">
        <f>F181*G181</f>
        <v>0</v>
      </c>
      <c r="K181" s="21">
        <v>0.036</v>
      </c>
      <c r="L181" s="21">
        <f>F181*K181</f>
        <v>0.036</v>
      </c>
      <c r="M181" s="32" t="s">
        <v>829</v>
      </c>
      <c r="N181" s="33" t="s">
        <v>831</v>
      </c>
      <c r="O181" s="21">
        <f>IF(N181="5",I181,0)</f>
        <v>0</v>
      </c>
      <c r="Z181" s="21">
        <f>IF(AD181=0,J181,0)</f>
        <v>0</v>
      </c>
      <c r="AA181" s="21">
        <f>IF(AD181=15,J181,0)</f>
        <v>0</v>
      </c>
      <c r="AB181" s="21">
        <f>IF(AD181=21,J181,0)</f>
        <v>0</v>
      </c>
      <c r="AD181" s="36">
        <v>21</v>
      </c>
      <c r="AE181" s="36">
        <f>G181*1</f>
        <v>0</v>
      </c>
      <c r="AF181" s="36">
        <f>G181*(1-1)</f>
        <v>0</v>
      </c>
      <c r="AM181" s="36">
        <f>F181*AE181</f>
        <v>0</v>
      </c>
      <c r="AN181" s="36">
        <f>F181*AF181</f>
        <v>0</v>
      </c>
      <c r="AO181" s="37" t="s">
        <v>849</v>
      </c>
      <c r="AP181" s="37" t="s">
        <v>865</v>
      </c>
      <c r="AQ181" s="29" t="s">
        <v>870</v>
      </c>
    </row>
    <row r="182" spans="4:6" ht="12.75">
      <c r="D182" s="15" t="s">
        <v>448</v>
      </c>
      <c r="F182" s="20">
        <v>1</v>
      </c>
    </row>
    <row r="183" spans="1:43" ht="12.75">
      <c r="A183" s="4" t="s">
        <v>62</v>
      </c>
      <c r="B183" s="4"/>
      <c r="C183" s="4" t="s">
        <v>201</v>
      </c>
      <c r="D183" s="4" t="s">
        <v>449</v>
      </c>
      <c r="E183" s="4" t="s">
        <v>805</v>
      </c>
      <c r="F183" s="19">
        <v>1</v>
      </c>
      <c r="G183" s="19">
        <v>0</v>
      </c>
      <c r="H183" s="19">
        <f>F183*AE183</f>
        <v>0</v>
      </c>
      <c r="I183" s="19">
        <f>J183-H183</f>
        <v>0</v>
      </c>
      <c r="J183" s="19">
        <f>F183*G183</f>
        <v>0</v>
      </c>
      <c r="K183" s="19">
        <v>0.00041</v>
      </c>
      <c r="L183" s="19">
        <f>F183*K183</f>
        <v>0.00041</v>
      </c>
      <c r="M183" s="32" t="s">
        <v>829</v>
      </c>
      <c r="N183" s="32" t="s">
        <v>7</v>
      </c>
      <c r="O183" s="19">
        <f>IF(N183="5",I183,0)</f>
        <v>0</v>
      </c>
      <c r="Z183" s="19">
        <f>IF(AD183=0,J183,0)</f>
        <v>0</v>
      </c>
      <c r="AA183" s="19">
        <f>IF(AD183=15,J183,0)</f>
        <v>0</v>
      </c>
      <c r="AB183" s="19">
        <f>IF(AD183=21,J183,0)</f>
        <v>0</v>
      </c>
      <c r="AD183" s="36">
        <v>21</v>
      </c>
      <c r="AE183" s="36">
        <f>G183*0.530201729106628</f>
        <v>0</v>
      </c>
      <c r="AF183" s="36">
        <f>G183*(1-0.530201729106628)</f>
        <v>0</v>
      </c>
      <c r="AM183" s="36">
        <f>F183*AE183</f>
        <v>0</v>
      </c>
      <c r="AN183" s="36">
        <f>F183*AF183</f>
        <v>0</v>
      </c>
      <c r="AO183" s="37" t="s">
        <v>849</v>
      </c>
      <c r="AP183" s="37" t="s">
        <v>865</v>
      </c>
      <c r="AQ183" s="29" t="s">
        <v>870</v>
      </c>
    </row>
    <row r="184" spans="4:6" ht="12.75">
      <c r="D184" s="15" t="s">
        <v>450</v>
      </c>
      <c r="F184" s="20">
        <v>1</v>
      </c>
    </row>
    <row r="185" spans="1:43" ht="12.75">
      <c r="A185" s="4" t="s">
        <v>63</v>
      </c>
      <c r="B185" s="4"/>
      <c r="C185" s="4" t="s">
        <v>190</v>
      </c>
      <c r="D185" s="4" t="s">
        <v>451</v>
      </c>
      <c r="E185" s="4" t="s">
        <v>808</v>
      </c>
      <c r="F185" s="19">
        <v>1</v>
      </c>
      <c r="G185" s="19">
        <v>0</v>
      </c>
      <c r="H185" s="19">
        <f>F185*AE185</f>
        <v>0</v>
      </c>
      <c r="I185" s="19">
        <f>J185-H185</f>
        <v>0</v>
      </c>
      <c r="J185" s="19">
        <f>F185*G185</f>
        <v>0</v>
      </c>
      <c r="K185" s="19">
        <v>0.00156</v>
      </c>
      <c r="L185" s="19">
        <f>F185*K185</f>
        <v>0.00156</v>
      </c>
      <c r="M185" s="32" t="s">
        <v>829</v>
      </c>
      <c r="N185" s="32" t="s">
        <v>7</v>
      </c>
      <c r="O185" s="19">
        <f>IF(N185="5",I185,0)</f>
        <v>0</v>
      </c>
      <c r="Z185" s="19">
        <f>IF(AD185=0,J185,0)</f>
        <v>0</v>
      </c>
      <c r="AA185" s="19">
        <f>IF(AD185=15,J185,0)</f>
        <v>0</v>
      </c>
      <c r="AB185" s="19">
        <f>IF(AD185=21,J185,0)</f>
        <v>0</v>
      </c>
      <c r="AD185" s="36">
        <v>21</v>
      </c>
      <c r="AE185" s="36">
        <f>G185*0</f>
        <v>0</v>
      </c>
      <c r="AF185" s="36">
        <f>G185*(1-0)</f>
        <v>0</v>
      </c>
      <c r="AM185" s="36">
        <f>F185*AE185</f>
        <v>0</v>
      </c>
      <c r="AN185" s="36">
        <f>F185*AF185</f>
        <v>0</v>
      </c>
      <c r="AO185" s="37" t="s">
        <v>849</v>
      </c>
      <c r="AP185" s="37" t="s">
        <v>865</v>
      </c>
      <c r="AQ185" s="29" t="s">
        <v>870</v>
      </c>
    </row>
    <row r="186" spans="4:6" ht="12.75">
      <c r="D186" s="15" t="s">
        <v>450</v>
      </c>
      <c r="F186" s="20">
        <v>1</v>
      </c>
    </row>
    <row r="187" spans="1:43" ht="12.75">
      <c r="A187" s="4" t="s">
        <v>64</v>
      </c>
      <c r="B187" s="4"/>
      <c r="C187" s="4" t="s">
        <v>191</v>
      </c>
      <c r="D187" s="4" t="s">
        <v>452</v>
      </c>
      <c r="E187" s="4" t="s">
        <v>805</v>
      </c>
      <c r="F187" s="19">
        <v>1</v>
      </c>
      <c r="G187" s="19">
        <v>0</v>
      </c>
      <c r="H187" s="19">
        <f>F187*AE187</f>
        <v>0</v>
      </c>
      <c r="I187" s="19">
        <f>J187-H187</f>
        <v>0</v>
      </c>
      <c r="J187" s="19">
        <f>F187*G187</f>
        <v>0</v>
      </c>
      <c r="K187" s="19">
        <v>0.00018</v>
      </c>
      <c r="L187" s="19">
        <f>F187*K187</f>
        <v>0.00018</v>
      </c>
      <c r="M187" s="32" t="s">
        <v>829</v>
      </c>
      <c r="N187" s="32" t="s">
        <v>7</v>
      </c>
      <c r="O187" s="19">
        <f>IF(N187="5",I187,0)</f>
        <v>0</v>
      </c>
      <c r="Z187" s="19">
        <f>IF(AD187=0,J187,0)</f>
        <v>0</v>
      </c>
      <c r="AA187" s="19">
        <f>IF(AD187=15,J187,0)</f>
        <v>0</v>
      </c>
      <c r="AB187" s="19">
        <f>IF(AD187=21,J187,0)</f>
        <v>0</v>
      </c>
      <c r="AD187" s="36">
        <v>21</v>
      </c>
      <c r="AE187" s="36">
        <f>G187*0.349581426038187</f>
        <v>0</v>
      </c>
      <c r="AF187" s="36">
        <f>G187*(1-0.349581426038187)</f>
        <v>0</v>
      </c>
      <c r="AM187" s="36">
        <f>F187*AE187</f>
        <v>0</v>
      </c>
      <c r="AN187" s="36">
        <f>F187*AF187</f>
        <v>0</v>
      </c>
      <c r="AO187" s="37" t="s">
        <v>849</v>
      </c>
      <c r="AP187" s="37" t="s">
        <v>865</v>
      </c>
      <c r="AQ187" s="29" t="s">
        <v>870</v>
      </c>
    </row>
    <row r="188" spans="4:6" ht="12.75">
      <c r="D188" s="15" t="s">
        <v>453</v>
      </c>
      <c r="F188" s="20">
        <v>1</v>
      </c>
    </row>
    <row r="189" spans="1:43" ht="12.75">
      <c r="A189" s="6" t="s">
        <v>65</v>
      </c>
      <c r="B189" s="6"/>
      <c r="C189" s="6" t="s">
        <v>202</v>
      </c>
      <c r="D189" s="6" t="s">
        <v>454</v>
      </c>
      <c r="E189" s="6" t="s">
        <v>805</v>
      </c>
      <c r="F189" s="21">
        <v>1</v>
      </c>
      <c r="G189" s="21">
        <v>0</v>
      </c>
      <c r="H189" s="21">
        <f>F189*AE189</f>
        <v>0</v>
      </c>
      <c r="I189" s="21">
        <f>J189-H189</f>
        <v>0</v>
      </c>
      <c r="J189" s="21">
        <f>F189*G189</f>
        <v>0</v>
      </c>
      <c r="K189" s="21">
        <v>0.001</v>
      </c>
      <c r="L189" s="21">
        <f>F189*K189</f>
        <v>0.001</v>
      </c>
      <c r="M189" s="33"/>
      <c r="N189" s="33" t="s">
        <v>831</v>
      </c>
      <c r="O189" s="21">
        <f>IF(N189="5",I189,0)</f>
        <v>0</v>
      </c>
      <c r="Z189" s="21">
        <f>IF(AD189=0,J189,0)</f>
        <v>0</v>
      </c>
      <c r="AA189" s="21">
        <f>IF(AD189=15,J189,0)</f>
        <v>0</v>
      </c>
      <c r="AB189" s="21">
        <f>IF(AD189=21,J189,0)</f>
        <v>0</v>
      </c>
      <c r="AD189" s="36">
        <v>21</v>
      </c>
      <c r="AE189" s="36">
        <f>G189*1</f>
        <v>0</v>
      </c>
      <c r="AF189" s="36">
        <f>G189*(1-1)</f>
        <v>0</v>
      </c>
      <c r="AM189" s="36">
        <f>F189*AE189</f>
        <v>0</v>
      </c>
      <c r="AN189" s="36">
        <f>F189*AF189</f>
        <v>0</v>
      </c>
      <c r="AO189" s="37" t="s">
        <v>849</v>
      </c>
      <c r="AP189" s="37" t="s">
        <v>865</v>
      </c>
      <c r="AQ189" s="29" t="s">
        <v>870</v>
      </c>
    </row>
    <row r="190" spans="4:6" ht="12.75">
      <c r="D190" s="15" t="s">
        <v>455</v>
      </c>
      <c r="F190" s="20">
        <v>1</v>
      </c>
    </row>
    <row r="191" spans="1:43" ht="12.75">
      <c r="A191" s="4" t="s">
        <v>66</v>
      </c>
      <c r="B191" s="4"/>
      <c r="C191" s="4" t="s">
        <v>203</v>
      </c>
      <c r="D191" s="4" t="s">
        <v>456</v>
      </c>
      <c r="E191" s="4" t="s">
        <v>808</v>
      </c>
      <c r="F191" s="19">
        <v>7</v>
      </c>
      <c r="G191" s="19">
        <v>0</v>
      </c>
      <c r="H191" s="19">
        <f>F191*AE191</f>
        <v>0</v>
      </c>
      <c r="I191" s="19">
        <f>J191-H191</f>
        <v>0</v>
      </c>
      <c r="J191" s="19">
        <f>F191*G191</f>
        <v>0</v>
      </c>
      <c r="K191" s="19">
        <v>0.088</v>
      </c>
      <c r="L191" s="19">
        <f>F191*K191</f>
        <v>0.616</v>
      </c>
      <c r="M191" s="32" t="s">
        <v>829</v>
      </c>
      <c r="N191" s="32" t="s">
        <v>7</v>
      </c>
      <c r="O191" s="19">
        <f>IF(N191="5",I191,0)</f>
        <v>0</v>
      </c>
      <c r="Z191" s="19">
        <f>IF(AD191=0,J191,0)</f>
        <v>0</v>
      </c>
      <c r="AA191" s="19">
        <f>IF(AD191=15,J191,0)</f>
        <v>0</v>
      </c>
      <c r="AB191" s="19">
        <f>IF(AD191=21,J191,0)</f>
        <v>0</v>
      </c>
      <c r="AD191" s="36">
        <v>21</v>
      </c>
      <c r="AE191" s="36">
        <f>G191*0</f>
        <v>0</v>
      </c>
      <c r="AF191" s="36">
        <f>G191*(1-0)</f>
        <v>0</v>
      </c>
      <c r="AM191" s="36">
        <f>F191*AE191</f>
        <v>0</v>
      </c>
      <c r="AN191" s="36">
        <f>F191*AF191</f>
        <v>0</v>
      </c>
      <c r="AO191" s="37" t="s">
        <v>849</v>
      </c>
      <c r="AP191" s="37" t="s">
        <v>865</v>
      </c>
      <c r="AQ191" s="29" t="s">
        <v>870</v>
      </c>
    </row>
    <row r="192" spans="4:6" ht="12.75">
      <c r="D192" s="15" t="s">
        <v>353</v>
      </c>
      <c r="F192" s="20">
        <v>1</v>
      </c>
    </row>
    <row r="193" spans="4:6" ht="12.75">
      <c r="D193" s="15" t="s">
        <v>354</v>
      </c>
      <c r="F193" s="20">
        <v>1</v>
      </c>
    </row>
    <row r="194" spans="4:6" ht="12.75">
      <c r="D194" s="15" t="s">
        <v>355</v>
      </c>
      <c r="F194" s="20">
        <v>1</v>
      </c>
    </row>
    <row r="195" spans="4:6" ht="12.75">
      <c r="D195" s="15" t="s">
        <v>356</v>
      </c>
      <c r="F195" s="20">
        <v>1</v>
      </c>
    </row>
    <row r="196" spans="4:6" ht="12.75">
      <c r="D196" s="15" t="s">
        <v>357</v>
      </c>
      <c r="F196" s="20">
        <v>1</v>
      </c>
    </row>
    <row r="197" spans="4:6" ht="12.75">
      <c r="D197" s="15" t="s">
        <v>358</v>
      </c>
      <c r="F197" s="20">
        <v>1</v>
      </c>
    </row>
    <row r="198" spans="4:6" ht="12.75">
      <c r="D198" s="15" t="s">
        <v>359</v>
      </c>
      <c r="F198" s="20">
        <v>1</v>
      </c>
    </row>
    <row r="199" spans="1:43" ht="12.75">
      <c r="A199" s="4" t="s">
        <v>67</v>
      </c>
      <c r="B199" s="4"/>
      <c r="C199" s="4" t="s">
        <v>204</v>
      </c>
      <c r="D199" s="4" t="s">
        <v>457</v>
      </c>
      <c r="E199" s="4" t="s">
        <v>805</v>
      </c>
      <c r="F199" s="19">
        <v>7</v>
      </c>
      <c r="G199" s="19">
        <v>0</v>
      </c>
      <c r="H199" s="19">
        <f>F199*AE199</f>
        <v>0</v>
      </c>
      <c r="I199" s="19">
        <f>J199-H199</f>
        <v>0</v>
      </c>
      <c r="J199" s="19">
        <f>F199*G199</f>
        <v>0</v>
      </c>
      <c r="K199" s="19">
        <v>0.00157</v>
      </c>
      <c r="L199" s="19">
        <f>F199*K199</f>
        <v>0.01099</v>
      </c>
      <c r="M199" s="32" t="s">
        <v>829</v>
      </c>
      <c r="N199" s="32" t="s">
        <v>9</v>
      </c>
      <c r="O199" s="19">
        <f>IF(N199="5",I199,0)</f>
        <v>0</v>
      </c>
      <c r="Z199" s="19">
        <f>IF(AD199=0,J199,0)</f>
        <v>0</v>
      </c>
      <c r="AA199" s="19">
        <f>IF(AD199=15,J199,0)</f>
        <v>0</v>
      </c>
      <c r="AB199" s="19">
        <f>IF(AD199=21,J199,0)</f>
        <v>0</v>
      </c>
      <c r="AD199" s="36">
        <v>21</v>
      </c>
      <c r="AE199" s="36">
        <f>G199*0.172985304019023</f>
        <v>0</v>
      </c>
      <c r="AF199" s="36">
        <f>G199*(1-0.172985304019023)</f>
        <v>0</v>
      </c>
      <c r="AM199" s="36">
        <f>F199*AE199</f>
        <v>0</v>
      </c>
      <c r="AN199" s="36">
        <f>F199*AF199</f>
        <v>0</v>
      </c>
      <c r="AO199" s="37" t="s">
        <v>849</v>
      </c>
      <c r="AP199" s="37" t="s">
        <v>865</v>
      </c>
      <c r="AQ199" s="29" t="s">
        <v>870</v>
      </c>
    </row>
    <row r="200" spans="4:6" ht="12.75">
      <c r="D200" s="15" t="s">
        <v>458</v>
      </c>
      <c r="F200" s="20">
        <v>7</v>
      </c>
    </row>
    <row r="201" spans="1:43" ht="12.75">
      <c r="A201" s="6" t="s">
        <v>68</v>
      </c>
      <c r="B201" s="6"/>
      <c r="C201" s="6" t="s">
        <v>205</v>
      </c>
      <c r="D201" s="6" t="s">
        <v>459</v>
      </c>
      <c r="E201" s="6" t="s">
        <v>805</v>
      </c>
      <c r="F201" s="21">
        <v>7</v>
      </c>
      <c r="G201" s="21">
        <v>0</v>
      </c>
      <c r="H201" s="21">
        <f>F201*AE201</f>
        <v>0</v>
      </c>
      <c r="I201" s="21">
        <f>J201-H201</f>
        <v>0</v>
      </c>
      <c r="J201" s="21">
        <f>F201*G201</f>
        <v>0</v>
      </c>
      <c r="K201" s="21">
        <v>0.016</v>
      </c>
      <c r="L201" s="21">
        <f>F201*K201</f>
        <v>0.112</v>
      </c>
      <c r="M201" s="33" t="s">
        <v>830</v>
      </c>
      <c r="N201" s="33" t="s">
        <v>831</v>
      </c>
      <c r="O201" s="21">
        <f>IF(N201="5",I201,0)</f>
        <v>0</v>
      </c>
      <c r="Z201" s="21">
        <f>IF(AD201=0,J201,0)</f>
        <v>0</v>
      </c>
      <c r="AA201" s="21">
        <f>IF(AD201=15,J201,0)</f>
        <v>0</v>
      </c>
      <c r="AB201" s="21">
        <f>IF(AD201=21,J201,0)</f>
        <v>0</v>
      </c>
      <c r="AD201" s="36">
        <v>21</v>
      </c>
      <c r="AE201" s="36">
        <f>G201*1</f>
        <v>0</v>
      </c>
      <c r="AF201" s="36">
        <f>G201*(1-1)</f>
        <v>0</v>
      </c>
      <c r="AM201" s="36">
        <f>F201*AE201</f>
        <v>0</v>
      </c>
      <c r="AN201" s="36">
        <f>F201*AF201</f>
        <v>0</v>
      </c>
      <c r="AO201" s="37" t="s">
        <v>849</v>
      </c>
      <c r="AP201" s="37" t="s">
        <v>865</v>
      </c>
      <c r="AQ201" s="29" t="s">
        <v>870</v>
      </c>
    </row>
    <row r="202" spans="4:6" ht="12.75">
      <c r="D202" s="15" t="s">
        <v>460</v>
      </c>
      <c r="F202" s="20">
        <v>7</v>
      </c>
    </row>
    <row r="203" spans="1:43" ht="12.75">
      <c r="A203" s="4" t="s">
        <v>69</v>
      </c>
      <c r="B203" s="4"/>
      <c r="C203" s="4" t="s">
        <v>206</v>
      </c>
      <c r="D203" s="4" t="s">
        <v>461</v>
      </c>
      <c r="E203" s="4" t="s">
        <v>805</v>
      </c>
      <c r="F203" s="19">
        <v>7</v>
      </c>
      <c r="G203" s="19">
        <v>0</v>
      </c>
      <c r="H203" s="19">
        <f>F203*AE203</f>
        <v>0</v>
      </c>
      <c r="I203" s="19">
        <f>J203-H203</f>
        <v>0</v>
      </c>
      <c r="J203" s="19">
        <f>F203*G203</f>
        <v>0</v>
      </c>
      <c r="K203" s="19">
        <v>0.00015</v>
      </c>
      <c r="L203" s="19">
        <f>F203*K203</f>
        <v>0.00105</v>
      </c>
      <c r="M203" s="32" t="s">
        <v>829</v>
      </c>
      <c r="N203" s="32" t="s">
        <v>7</v>
      </c>
      <c r="O203" s="19">
        <f>IF(N203="5",I203,0)</f>
        <v>0</v>
      </c>
      <c r="Z203" s="19">
        <f>IF(AD203=0,J203,0)</f>
        <v>0</v>
      </c>
      <c r="AA203" s="19">
        <f>IF(AD203=15,J203,0)</f>
        <v>0</v>
      </c>
      <c r="AB203" s="19">
        <f>IF(AD203=21,J203,0)</f>
        <v>0</v>
      </c>
      <c r="AD203" s="36">
        <v>21</v>
      </c>
      <c r="AE203" s="36">
        <f>G203*0.839674418604651</f>
        <v>0</v>
      </c>
      <c r="AF203" s="36">
        <f>G203*(1-0.839674418604651)</f>
        <v>0</v>
      </c>
      <c r="AM203" s="36">
        <f>F203*AE203</f>
        <v>0</v>
      </c>
      <c r="AN203" s="36">
        <f>F203*AF203</f>
        <v>0</v>
      </c>
      <c r="AO203" s="37" t="s">
        <v>849</v>
      </c>
      <c r="AP203" s="37" t="s">
        <v>865</v>
      </c>
      <c r="AQ203" s="29" t="s">
        <v>870</v>
      </c>
    </row>
    <row r="204" spans="4:6" ht="12.75">
      <c r="D204" s="15" t="s">
        <v>462</v>
      </c>
      <c r="F204" s="20">
        <v>7</v>
      </c>
    </row>
    <row r="205" spans="1:43" ht="12.75">
      <c r="A205" s="6" t="s">
        <v>70</v>
      </c>
      <c r="B205" s="6"/>
      <c r="C205" s="6" t="s">
        <v>207</v>
      </c>
      <c r="D205" s="6" t="s">
        <v>463</v>
      </c>
      <c r="E205" s="6" t="s">
        <v>805</v>
      </c>
      <c r="F205" s="21">
        <v>7</v>
      </c>
      <c r="G205" s="21">
        <v>0</v>
      </c>
      <c r="H205" s="21">
        <f>F205*AE205</f>
        <v>0</v>
      </c>
      <c r="I205" s="21">
        <f>J205-H205</f>
        <v>0</v>
      </c>
      <c r="J205" s="21">
        <f>F205*G205</f>
        <v>0</v>
      </c>
      <c r="K205" s="21">
        <v>0.0005</v>
      </c>
      <c r="L205" s="21">
        <f>F205*K205</f>
        <v>0.0035</v>
      </c>
      <c r="M205" s="33" t="s">
        <v>829</v>
      </c>
      <c r="N205" s="33" t="s">
        <v>831</v>
      </c>
      <c r="O205" s="21">
        <f>IF(N205="5",I205,0)</f>
        <v>0</v>
      </c>
      <c r="Z205" s="21">
        <f>IF(AD205=0,J205,0)</f>
        <v>0</v>
      </c>
      <c r="AA205" s="21">
        <f>IF(AD205=15,J205,0)</f>
        <v>0</v>
      </c>
      <c r="AB205" s="21">
        <f>IF(AD205=21,J205,0)</f>
        <v>0</v>
      </c>
      <c r="AD205" s="36">
        <v>21</v>
      </c>
      <c r="AE205" s="36">
        <f>G205*1</f>
        <v>0</v>
      </c>
      <c r="AF205" s="36">
        <f>G205*(1-1)</f>
        <v>0</v>
      </c>
      <c r="AM205" s="36">
        <f>F205*AE205</f>
        <v>0</v>
      </c>
      <c r="AN205" s="36">
        <f>F205*AF205</f>
        <v>0</v>
      </c>
      <c r="AO205" s="37" t="s">
        <v>849</v>
      </c>
      <c r="AP205" s="37" t="s">
        <v>865</v>
      </c>
      <c r="AQ205" s="29" t="s">
        <v>870</v>
      </c>
    </row>
    <row r="206" spans="4:6" ht="12.75">
      <c r="D206" s="15" t="s">
        <v>462</v>
      </c>
      <c r="F206" s="20">
        <v>7</v>
      </c>
    </row>
    <row r="207" spans="1:43" ht="12.75">
      <c r="A207" s="4" t="s">
        <v>71</v>
      </c>
      <c r="B207" s="4"/>
      <c r="C207" s="4" t="s">
        <v>189</v>
      </c>
      <c r="D207" s="4" t="s">
        <v>464</v>
      </c>
      <c r="E207" s="4" t="s">
        <v>805</v>
      </c>
      <c r="F207" s="19">
        <v>7</v>
      </c>
      <c r="G207" s="19">
        <v>0</v>
      </c>
      <c r="H207" s="19">
        <f>F207*AE207</f>
        <v>0</v>
      </c>
      <c r="I207" s="19">
        <f>J207-H207</f>
        <v>0</v>
      </c>
      <c r="J207" s="19">
        <f>F207*G207</f>
        <v>0</v>
      </c>
      <c r="K207" s="19">
        <v>0.00042</v>
      </c>
      <c r="L207" s="19">
        <f>F207*K207</f>
        <v>0.00294</v>
      </c>
      <c r="M207" s="32" t="s">
        <v>829</v>
      </c>
      <c r="N207" s="32" t="s">
        <v>7</v>
      </c>
      <c r="O207" s="19">
        <f>IF(N207="5",I207,0)</f>
        <v>0</v>
      </c>
      <c r="Z207" s="19">
        <f>IF(AD207=0,J207,0)</f>
        <v>0</v>
      </c>
      <c r="AA207" s="19">
        <f>IF(AD207=15,J207,0)</f>
        <v>0</v>
      </c>
      <c r="AB207" s="19">
        <f>IF(AD207=21,J207,0)</f>
        <v>0</v>
      </c>
      <c r="AD207" s="36">
        <v>21</v>
      </c>
      <c r="AE207" s="36">
        <f>G207*0.553369863013699</f>
        <v>0</v>
      </c>
      <c r="AF207" s="36">
        <f>G207*(1-0.553369863013699)</f>
        <v>0</v>
      </c>
      <c r="AM207" s="36">
        <f>F207*AE207</f>
        <v>0</v>
      </c>
      <c r="AN207" s="36">
        <f>F207*AF207</f>
        <v>0</v>
      </c>
      <c r="AO207" s="37" t="s">
        <v>849</v>
      </c>
      <c r="AP207" s="37" t="s">
        <v>865</v>
      </c>
      <c r="AQ207" s="29" t="s">
        <v>870</v>
      </c>
    </row>
    <row r="208" spans="4:6" ht="12.75">
      <c r="D208" s="15" t="s">
        <v>462</v>
      </c>
      <c r="F208" s="20">
        <v>7</v>
      </c>
    </row>
    <row r="209" spans="1:43" ht="12.75">
      <c r="A209" s="4" t="s">
        <v>72</v>
      </c>
      <c r="B209" s="4"/>
      <c r="C209" s="4" t="s">
        <v>208</v>
      </c>
      <c r="D209" s="4" t="s">
        <v>465</v>
      </c>
      <c r="E209" s="4" t="s">
        <v>805</v>
      </c>
      <c r="F209" s="19">
        <v>7</v>
      </c>
      <c r="G209" s="19">
        <v>0</v>
      </c>
      <c r="H209" s="19">
        <f>F209*AE209</f>
        <v>0</v>
      </c>
      <c r="I209" s="19">
        <f>J209-H209</f>
        <v>0</v>
      </c>
      <c r="J209" s="19">
        <f>F209*G209</f>
        <v>0</v>
      </c>
      <c r="K209" s="19">
        <v>0.00225</v>
      </c>
      <c r="L209" s="19">
        <f>F209*K209</f>
        <v>0.01575</v>
      </c>
      <c r="M209" s="32" t="s">
        <v>829</v>
      </c>
      <c r="N209" s="32" t="s">
        <v>7</v>
      </c>
      <c r="O209" s="19">
        <f>IF(N209="5",I209,0)</f>
        <v>0</v>
      </c>
      <c r="Z209" s="19">
        <f>IF(AD209=0,J209,0)</f>
        <v>0</v>
      </c>
      <c r="AA209" s="19">
        <f>IF(AD209=15,J209,0)</f>
        <v>0</v>
      </c>
      <c r="AB209" s="19">
        <f>IF(AD209=21,J209,0)</f>
        <v>0</v>
      </c>
      <c r="AD209" s="36">
        <v>21</v>
      </c>
      <c r="AE209" s="36">
        <f>G209*0</f>
        <v>0</v>
      </c>
      <c r="AF209" s="36">
        <f>G209*(1-0)</f>
        <v>0</v>
      </c>
      <c r="AM209" s="36">
        <f>F209*AE209</f>
        <v>0</v>
      </c>
      <c r="AN209" s="36">
        <f>F209*AF209</f>
        <v>0</v>
      </c>
      <c r="AO209" s="37" t="s">
        <v>849</v>
      </c>
      <c r="AP209" s="37" t="s">
        <v>865</v>
      </c>
      <c r="AQ209" s="29" t="s">
        <v>870</v>
      </c>
    </row>
    <row r="210" spans="4:6" ht="12.75">
      <c r="D210" s="15" t="s">
        <v>462</v>
      </c>
      <c r="F210" s="20">
        <v>7</v>
      </c>
    </row>
    <row r="211" spans="1:43" ht="12.75">
      <c r="A211" s="4" t="s">
        <v>73</v>
      </c>
      <c r="B211" s="4"/>
      <c r="C211" s="4" t="s">
        <v>209</v>
      </c>
      <c r="D211" s="4" t="s">
        <v>466</v>
      </c>
      <c r="E211" s="4" t="s">
        <v>805</v>
      </c>
      <c r="F211" s="19">
        <v>7</v>
      </c>
      <c r="G211" s="19">
        <v>0</v>
      </c>
      <c r="H211" s="19">
        <f>F211*AE211</f>
        <v>0</v>
      </c>
      <c r="I211" s="19">
        <f>J211-H211</f>
        <v>0</v>
      </c>
      <c r="J211" s="19">
        <f>F211*G211</f>
        <v>0</v>
      </c>
      <c r="K211" s="19">
        <v>0.00052</v>
      </c>
      <c r="L211" s="19">
        <f>F211*K211</f>
        <v>0.0036399999999999996</v>
      </c>
      <c r="M211" s="32" t="s">
        <v>829</v>
      </c>
      <c r="N211" s="32" t="s">
        <v>7</v>
      </c>
      <c r="O211" s="19">
        <f>IF(N211="5",I211,0)</f>
        <v>0</v>
      </c>
      <c r="Z211" s="19">
        <f>IF(AD211=0,J211,0)</f>
        <v>0</v>
      </c>
      <c r="AA211" s="19">
        <f>IF(AD211=15,J211,0)</f>
        <v>0</v>
      </c>
      <c r="AB211" s="19">
        <f>IF(AD211=21,J211,0)</f>
        <v>0</v>
      </c>
      <c r="AD211" s="36">
        <v>21</v>
      </c>
      <c r="AE211" s="36">
        <f>G211*0</f>
        <v>0</v>
      </c>
      <c r="AF211" s="36">
        <f>G211*(1-0)</f>
        <v>0</v>
      </c>
      <c r="AM211" s="36">
        <f>F211*AE211</f>
        <v>0</v>
      </c>
      <c r="AN211" s="36">
        <f>F211*AF211</f>
        <v>0</v>
      </c>
      <c r="AO211" s="37" t="s">
        <v>849</v>
      </c>
      <c r="AP211" s="37" t="s">
        <v>865</v>
      </c>
      <c r="AQ211" s="29" t="s">
        <v>870</v>
      </c>
    </row>
    <row r="212" spans="4:6" ht="12.75">
      <c r="D212" s="15" t="s">
        <v>467</v>
      </c>
      <c r="F212" s="20">
        <v>7</v>
      </c>
    </row>
    <row r="213" spans="1:43" ht="12.75">
      <c r="A213" s="4" t="s">
        <v>74</v>
      </c>
      <c r="B213" s="4"/>
      <c r="C213" s="4" t="s">
        <v>210</v>
      </c>
      <c r="D213" s="4" t="s">
        <v>468</v>
      </c>
      <c r="E213" s="4" t="s">
        <v>805</v>
      </c>
      <c r="F213" s="19">
        <v>7</v>
      </c>
      <c r="G213" s="19">
        <v>0</v>
      </c>
      <c r="H213" s="19">
        <f>F213*AE213</f>
        <v>0</v>
      </c>
      <c r="I213" s="19">
        <f>J213-H213</f>
        <v>0</v>
      </c>
      <c r="J213" s="19">
        <f>F213*G213</f>
        <v>0</v>
      </c>
      <c r="K213" s="19">
        <v>0.00018</v>
      </c>
      <c r="L213" s="19">
        <f>F213*K213</f>
        <v>0.00126</v>
      </c>
      <c r="M213" s="32" t="s">
        <v>829</v>
      </c>
      <c r="N213" s="32" t="s">
        <v>7</v>
      </c>
      <c r="O213" s="19">
        <f>IF(N213="5",I213,0)</f>
        <v>0</v>
      </c>
      <c r="Z213" s="19">
        <f>IF(AD213=0,J213,0)</f>
        <v>0</v>
      </c>
      <c r="AA213" s="19">
        <f>IF(AD213=15,J213,0)</f>
        <v>0</v>
      </c>
      <c r="AB213" s="19">
        <f>IF(AD213=21,J213,0)</f>
        <v>0</v>
      </c>
      <c r="AD213" s="36">
        <v>21</v>
      </c>
      <c r="AE213" s="36">
        <f>G213*0.32958641807822</f>
        <v>0</v>
      </c>
      <c r="AF213" s="36">
        <f>G213*(1-0.32958641807822)</f>
        <v>0</v>
      </c>
      <c r="AM213" s="36">
        <f>F213*AE213</f>
        <v>0</v>
      </c>
      <c r="AN213" s="36">
        <f>F213*AF213</f>
        <v>0</v>
      </c>
      <c r="AO213" s="37" t="s">
        <v>849</v>
      </c>
      <c r="AP213" s="37" t="s">
        <v>865</v>
      </c>
      <c r="AQ213" s="29" t="s">
        <v>870</v>
      </c>
    </row>
    <row r="214" spans="4:6" ht="12.75">
      <c r="D214" s="15" t="s">
        <v>467</v>
      </c>
      <c r="F214" s="20">
        <v>7</v>
      </c>
    </row>
    <row r="215" spans="1:43" ht="12.75">
      <c r="A215" s="4" t="s">
        <v>75</v>
      </c>
      <c r="B215" s="4"/>
      <c r="C215" s="4" t="s">
        <v>211</v>
      </c>
      <c r="D215" s="4" t="s">
        <v>469</v>
      </c>
      <c r="E215" s="4" t="s">
        <v>805</v>
      </c>
      <c r="F215" s="19">
        <v>7</v>
      </c>
      <c r="G215" s="19">
        <v>0</v>
      </c>
      <c r="H215" s="19">
        <f>F215*AE215</f>
        <v>0</v>
      </c>
      <c r="I215" s="19">
        <f>J215-H215</f>
        <v>0</v>
      </c>
      <c r="J215" s="19">
        <f>F215*G215</f>
        <v>0</v>
      </c>
      <c r="K215" s="19">
        <v>2E-05</v>
      </c>
      <c r="L215" s="19">
        <f>F215*K215</f>
        <v>0.00014000000000000001</v>
      </c>
      <c r="M215" s="32" t="s">
        <v>829</v>
      </c>
      <c r="N215" s="32" t="s">
        <v>7</v>
      </c>
      <c r="O215" s="19">
        <f>IF(N215="5",I215,0)</f>
        <v>0</v>
      </c>
      <c r="Z215" s="19">
        <f>IF(AD215=0,J215,0)</f>
        <v>0</v>
      </c>
      <c r="AA215" s="19">
        <f>IF(AD215=15,J215,0)</f>
        <v>0</v>
      </c>
      <c r="AB215" s="19">
        <f>IF(AD215=21,J215,0)</f>
        <v>0</v>
      </c>
      <c r="AD215" s="36">
        <v>21</v>
      </c>
      <c r="AE215" s="36">
        <f>G215*0.164776632302405</f>
        <v>0</v>
      </c>
      <c r="AF215" s="36">
        <f>G215*(1-0.164776632302405)</f>
        <v>0</v>
      </c>
      <c r="AM215" s="36">
        <f>F215*AE215</f>
        <v>0</v>
      </c>
      <c r="AN215" s="36">
        <f>F215*AF215</f>
        <v>0</v>
      </c>
      <c r="AO215" s="37" t="s">
        <v>849</v>
      </c>
      <c r="AP215" s="37" t="s">
        <v>865</v>
      </c>
      <c r="AQ215" s="29" t="s">
        <v>870</v>
      </c>
    </row>
    <row r="216" spans="4:6" ht="12.75">
      <c r="D216" s="15" t="s">
        <v>470</v>
      </c>
      <c r="F216" s="20">
        <v>7</v>
      </c>
    </row>
    <row r="217" spans="1:43" ht="12.75">
      <c r="A217" s="6" t="s">
        <v>76</v>
      </c>
      <c r="B217" s="6"/>
      <c r="C217" s="6" t="s">
        <v>212</v>
      </c>
      <c r="D217" s="6" t="s">
        <v>471</v>
      </c>
      <c r="E217" s="6" t="s">
        <v>805</v>
      </c>
      <c r="F217" s="21">
        <v>7</v>
      </c>
      <c r="G217" s="21">
        <v>0</v>
      </c>
      <c r="H217" s="21">
        <f>F217*AE217</f>
        <v>0</v>
      </c>
      <c r="I217" s="21">
        <f>J217-H217</f>
        <v>0</v>
      </c>
      <c r="J217" s="21">
        <f>F217*G217</f>
        <v>0</v>
      </c>
      <c r="K217" s="21">
        <v>0.001</v>
      </c>
      <c r="L217" s="21">
        <f>F217*K217</f>
        <v>0.007</v>
      </c>
      <c r="M217" s="32" t="s">
        <v>829</v>
      </c>
      <c r="N217" s="33" t="s">
        <v>831</v>
      </c>
      <c r="O217" s="21">
        <f>IF(N217="5",I217,0)</f>
        <v>0</v>
      </c>
      <c r="Z217" s="21">
        <f>IF(AD217=0,J217,0)</f>
        <v>0</v>
      </c>
      <c r="AA217" s="21">
        <f>IF(AD217=15,J217,0)</f>
        <v>0</v>
      </c>
      <c r="AB217" s="21">
        <f>IF(AD217=21,J217,0)</f>
        <v>0</v>
      </c>
      <c r="AD217" s="36">
        <v>21</v>
      </c>
      <c r="AE217" s="36">
        <f>G217*1</f>
        <v>0</v>
      </c>
      <c r="AF217" s="36">
        <f>G217*(1-1)</f>
        <v>0</v>
      </c>
      <c r="AM217" s="36">
        <f>F217*AE217</f>
        <v>0</v>
      </c>
      <c r="AN217" s="36">
        <f>F217*AF217</f>
        <v>0</v>
      </c>
      <c r="AO217" s="37" t="s">
        <v>849</v>
      </c>
      <c r="AP217" s="37" t="s">
        <v>865</v>
      </c>
      <c r="AQ217" s="29" t="s">
        <v>870</v>
      </c>
    </row>
    <row r="218" spans="4:6" ht="12.75">
      <c r="D218" s="15" t="s">
        <v>470</v>
      </c>
      <c r="F218" s="20">
        <v>7</v>
      </c>
    </row>
    <row r="219" spans="1:43" ht="12.75">
      <c r="A219" s="4" t="s">
        <v>77</v>
      </c>
      <c r="B219" s="4"/>
      <c r="C219" s="4" t="s">
        <v>213</v>
      </c>
      <c r="D219" s="4" t="s">
        <v>472</v>
      </c>
      <c r="E219" s="4" t="s">
        <v>805</v>
      </c>
      <c r="F219" s="19">
        <v>31</v>
      </c>
      <c r="G219" s="19">
        <v>0</v>
      </c>
      <c r="H219" s="19">
        <f>F219*AE219</f>
        <v>0</v>
      </c>
      <c r="I219" s="19">
        <f>J219-H219</f>
        <v>0</v>
      </c>
      <c r="J219" s="19">
        <f>F219*G219</f>
        <v>0</v>
      </c>
      <c r="K219" s="19">
        <v>0</v>
      </c>
      <c r="L219" s="19">
        <f>F219*K219</f>
        <v>0</v>
      </c>
      <c r="M219" s="32"/>
      <c r="N219" s="32" t="s">
        <v>7</v>
      </c>
      <c r="O219" s="19">
        <f>IF(N219="5",I219,0)</f>
        <v>0</v>
      </c>
      <c r="Z219" s="19">
        <f>IF(AD219=0,J219,0)</f>
        <v>0</v>
      </c>
      <c r="AA219" s="19">
        <f>IF(AD219=15,J219,0)</f>
        <v>0</v>
      </c>
      <c r="AB219" s="19">
        <f>IF(AD219=21,J219,0)</f>
        <v>0</v>
      </c>
      <c r="AD219" s="36">
        <v>21</v>
      </c>
      <c r="AE219" s="36">
        <f>G219*0</f>
        <v>0</v>
      </c>
      <c r="AF219" s="36">
        <f>G219*(1-0)</f>
        <v>0</v>
      </c>
      <c r="AM219" s="36">
        <f>F219*AE219</f>
        <v>0</v>
      </c>
      <c r="AN219" s="36">
        <f>F219*AF219</f>
        <v>0</v>
      </c>
      <c r="AO219" s="37" t="s">
        <v>849</v>
      </c>
      <c r="AP219" s="37" t="s">
        <v>865</v>
      </c>
      <c r="AQ219" s="29" t="s">
        <v>870</v>
      </c>
    </row>
    <row r="220" spans="4:6" ht="12.75">
      <c r="D220" s="15" t="s">
        <v>473</v>
      </c>
      <c r="F220" s="20">
        <v>31</v>
      </c>
    </row>
    <row r="221" spans="1:43" ht="12.75">
      <c r="A221" s="4" t="s">
        <v>78</v>
      </c>
      <c r="B221" s="4"/>
      <c r="C221" s="4" t="s">
        <v>214</v>
      </c>
      <c r="D221" s="4" t="s">
        <v>474</v>
      </c>
      <c r="E221" s="4" t="s">
        <v>805</v>
      </c>
      <c r="F221" s="19">
        <v>60</v>
      </c>
      <c r="G221" s="19">
        <v>0</v>
      </c>
      <c r="H221" s="19">
        <f>F221*AE221</f>
        <v>0</v>
      </c>
      <c r="I221" s="19">
        <f>J221-H221</f>
        <v>0</v>
      </c>
      <c r="J221" s="19">
        <f>F221*G221</f>
        <v>0</v>
      </c>
      <c r="K221" s="19">
        <v>0</v>
      </c>
      <c r="L221" s="19">
        <f>F221*K221</f>
        <v>0</v>
      </c>
      <c r="M221" s="32"/>
      <c r="N221" s="32" t="s">
        <v>7</v>
      </c>
      <c r="O221" s="19">
        <f>IF(N221="5",I221,0)</f>
        <v>0</v>
      </c>
      <c r="Z221" s="19">
        <f>IF(AD221=0,J221,0)</f>
        <v>0</v>
      </c>
      <c r="AA221" s="19">
        <f>IF(AD221=15,J221,0)</f>
        <v>0</v>
      </c>
      <c r="AB221" s="19">
        <f>IF(AD221=21,J221,0)</f>
        <v>0</v>
      </c>
      <c r="AD221" s="36">
        <v>21</v>
      </c>
      <c r="AE221" s="36">
        <f>G221*0</f>
        <v>0</v>
      </c>
      <c r="AF221" s="36">
        <f>G221*(1-0)</f>
        <v>0</v>
      </c>
      <c r="AM221" s="36">
        <f>F221*AE221</f>
        <v>0</v>
      </c>
      <c r="AN221" s="36">
        <f>F221*AF221</f>
        <v>0</v>
      </c>
      <c r="AO221" s="37" t="s">
        <v>849</v>
      </c>
      <c r="AP221" s="37" t="s">
        <v>865</v>
      </c>
      <c r="AQ221" s="29" t="s">
        <v>870</v>
      </c>
    </row>
    <row r="222" spans="4:6" ht="12.75">
      <c r="D222" s="15" t="s">
        <v>475</v>
      </c>
      <c r="F222" s="20">
        <v>8</v>
      </c>
    </row>
    <row r="223" spans="4:6" ht="12.75">
      <c r="D223" s="15" t="s">
        <v>476</v>
      </c>
      <c r="F223" s="20">
        <v>8</v>
      </c>
    </row>
    <row r="224" spans="4:6" ht="12.75">
      <c r="D224" s="15" t="s">
        <v>477</v>
      </c>
      <c r="F224" s="20">
        <v>15</v>
      </c>
    </row>
    <row r="225" spans="4:6" ht="12.75">
      <c r="D225" s="15" t="s">
        <v>478</v>
      </c>
      <c r="F225" s="20">
        <v>29</v>
      </c>
    </row>
    <row r="226" spans="1:43" ht="12.75">
      <c r="A226" s="6" t="s">
        <v>79</v>
      </c>
      <c r="B226" s="6"/>
      <c r="C226" s="6" t="s">
        <v>215</v>
      </c>
      <c r="D226" s="6" t="s">
        <v>479</v>
      </c>
      <c r="E226" s="6" t="s">
        <v>805</v>
      </c>
      <c r="F226" s="21">
        <v>8</v>
      </c>
      <c r="G226" s="21">
        <v>0</v>
      </c>
      <c r="H226" s="21">
        <f>F226*AE226</f>
        <v>0</v>
      </c>
      <c r="I226" s="21">
        <f>J226-H226</f>
        <v>0</v>
      </c>
      <c r="J226" s="21">
        <f>F226*G226</f>
        <v>0</v>
      </c>
      <c r="K226" s="21">
        <v>0.0002</v>
      </c>
      <c r="L226" s="21">
        <f>F226*K226</f>
        <v>0.0016</v>
      </c>
      <c r="M226" s="33" t="s">
        <v>829</v>
      </c>
      <c r="N226" s="33" t="s">
        <v>831</v>
      </c>
      <c r="O226" s="21">
        <f>IF(N226="5",I226,0)</f>
        <v>0</v>
      </c>
      <c r="Z226" s="21">
        <f>IF(AD226=0,J226,0)</f>
        <v>0</v>
      </c>
      <c r="AA226" s="21">
        <f>IF(AD226=15,J226,0)</f>
        <v>0</v>
      </c>
      <c r="AB226" s="21">
        <f>IF(AD226=21,J226,0)</f>
        <v>0</v>
      </c>
      <c r="AD226" s="36">
        <v>21</v>
      </c>
      <c r="AE226" s="36">
        <f>G226*1</f>
        <v>0</v>
      </c>
      <c r="AF226" s="36">
        <f>G226*(1-1)</f>
        <v>0</v>
      </c>
      <c r="AM226" s="36">
        <f>F226*AE226</f>
        <v>0</v>
      </c>
      <c r="AN226" s="36">
        <f>F226*AF226</f>
        <v>0</v>
      </c>
      <c r="AO226" s="37" t="s">
        <v>849</v>
      </c>
      <c r="AP226" s="37" t="s">
        <v>865</v>
      </c>
      <c r="AQ226" s="29" t="s">
        <v>870</v>
      </c>
    </row>
    <row r="227" spans="4:6" ht="12.75">
      <c r="D227" s="15" t="s">
        <v>480</v>
      </c>
      <c r="F227" s="20">
        <v>8</v>
      </c>
    </row>
    <row r="228" spans="1:43" ht="12.75">
      <c r="A228" s="6" t="s">
        <v>80</v>
      </c>
      <c r="B228" s="6"/>
      <c r="C228" s="6" t="s">
        <v>216</v>
      </c>
      <c r="D228" s="6" t="s">
        <v>481</v>
      </c>
      <c r="E228" s="6" t="s">
        <v>805</v>
      </c>
      <c r="F228" s="21">
        <v>8</v>
      </c>
      <c r="G228" s="21">
        <v>0</v>
      </c>
      <c r="H228" s="21">
        <f>F228*AE228</f>
        <v>0</v>
      </c>
      <c r="I228" s="21">
        <f>J228-H228</f>
        <v>0</v>
      </c>
      <c r="J228" s="21">
        <f>F228*G228</f>
        <v>0</v>
      </c>
      <c r="K228" s="21">
        <v>0.0006</v>
      </c>
      <c r="L228" s="21">
        <f>F228*K228</f>
        <v>0.0048</v>
      </c>
      <c r="M228" s="33" t="s">
        <v>829</v>
      </c>
      <c r="N228" s="33" t="s">
        <v>831</v>
      </c>
      <c r="O228" s="21">
        <f>IF(N228="5",I228,0)</f>
        <v>0</v>
      </c>
      <c r="Z228" s="21">
        <f>IF(AD228=0,J228,0)</f>
        <v>0</v>
      </c>
      <c r="AA228" s="21">
        <f>IF(AD228=15,J228,0)</f>
        <v>0</v>
      </c>
      <c r="AB228" s="21">
        <f>IF(AD228=21,J228,0)</f>
        <v>0</v>
      </c>
      <c r="AD228" s="36">
        <v>21</v>
      </c>
      <c r="AE228" s="36">
        <f>G228*1</f>
        <v>0</v>
      </c>
      <c r="AF228" s="36">
        <f>G228*(1-1)</f>
        <v>0</v>
      </c>
      <c r="AM228" s="36">
        <f>F228*AE228</f>
        <v>0</v>
      </c>
      <c r="AN228" s="36">
        <f>F228*AF228</f>
        <v>0</v>
      </c>
      <c r="AO228" s="37" t="s">
        <v>849</v>
      </c>
      <c r="AP228" s="37" t="s">
        <v>865</v>
      </c>
      <c r="AQ228" s="29" t="s">
        <v>870</v>
      </c>
    </row>
    <row r="229" spans="4:6" ht="12.75">
      <c r="D229" s="15" t="s">
        <v>353</v>
      </c>
      <c r="F229" s="20">
        <v>1</v>
      </c>
    </row>
    <row r="230" spans="4:6" ht="12.75">
      <c r="D230" s="15" t="s">
        <v>354</v>
      </c>
      <c r="F230" s="20">
        <v>1</v>
      </c>
    </row>
    <row r="231" spans="4:6" ht="12.75">
      <c r="D231" s="15" t="s">
        <v>355</v>
      </c>
      <c r="F231" s="20">
        <v>1</v>
      </c>
    </row>
    <row r="232" spans="4:6" ht="12.75">
      <c r="D232" s="15" t="s">
        <v>356</v>
      </c>
      <c r="F232" s="20">
        <v>1</v>
      </c>
    </row>
    <row r="233" spans="4:6" ht="12.75">
      <c r="D233" s="15" t="s">
        <v>357</v>
      </c>
      <c r="F233" s="20">
        <v>1</v>
      </c>
    </row>
    <row r="234" spans="4:6" ht="12.75">
      <c r="D234" s="15" t="s">
        <v>358</v>
      </c>
      <c r="F234" s="20">
        <v>1</v>
      </c>
    </row>
    <row r="235" spans="4:6" ht="12.75">
      <c r="D235" s="15" t="s">
        <v>414</v>
      </c>
      <c r="F235" s="20">
        <v>1</v>
      </c>
    </row>
    <row r="236" spans="4:6" ht="12.75">
      <c r="D236" s="15" t="s">
        <v>359</v>
      </c>
      <c r="F236" s="20">
        <v>1</v>
      </c>
    </row>
    <row r="237" spans="1:43" ht="12.75">
      <c r="A237" s="6" t="s">
        <v>81</v>
      </c>
      <c r="B237" s="6"/>
      <c r="C237" s="6" t="s">
        <v>217</v>
      </c>
      <c r="D237" s="6" t="s">
        <v>482</v>
      </c>
      <c r="E237" s="6" t="s">
        <v>805</v>
      </c>
      <c r="F237" s="21">
        <v>8</v>
      </c>
      <c r="G237" s="21">
        <v>0</v>
      </c>
      <c r="H237" s="21">
        <f>F237*AE237</f>
        <v>0</v>
      </c>
      <c r="I237" s="21">
        <f>J237-H237</f>
        <v>0</v>
      </c>
      <c r="J237" s="21">
        <f>F237*G237</f>
        <v>0</v>
      </c>
      <c r="K237" s="21">
        <v>0.0001</v>
      </c>
      <c r="L237" s="21">
        <f>F237*K237</f>
        <v>0.0008</v>
      </c>
      <c r="M237" s="33" t="s">
        <v>829</v>
      </c>
      <c r="N237" s="33" t="s">
        <v>831</v>
      </c>
      <c r="O237" s="21">
        <f>IF(N237="5",I237,0)</f>
        <v>0</v>
      </c>
      <c r="Z237" s="21">
        <f>IF(AD237=0,J237,0)</f>
        <v>0</v>
      </c>
      <c r="AA237" s="21">
        <f>IF(AD237=15,J237,0)</f>
        <v>0</v>
      </c>
      <c r="AB237" s="21">
        <f>IF(AD237=21,J237,0)</f>
        <v>0</v>
      </c>
      <c r="AD237" s="36">
        <v>21</v>
      </c>
      <c r="AE237" s="36">
        <f>G237*1</f>
        <v>0</v>
      </c>
      <c r="AF237" s="36">
        <f>G237*(1-1)</f>
        <v>0</v>
      </c>
      <c r="AM237" s="36">
        <f>F237*AE237</f>
        <v>0</v>
      </c>
      <c r="AN237" s="36">
        <f>F237*AF237</f>
        <v>0</v>
      </c>
      <c r="AO237" s="37" t="s">
        <v>849</v>
      </c>
      <c r="AP237" s="37" t="s">
        <v>865</v>
      </c>
      <c r="AQ237" s="29" t="s">
        <v>870</v>
      </c>
    </row>
    <row r="238" spans="4:6" ht="12.75">
      <c r="D238" s="15" t="s">
        <v>405</v>
      </c>
      <c r="F238" s="20">
        <v>8</v>
      </c>
    </row>
    <row r="239" spans="1:43" ht="12.75">
      <c r="A239" s="6" t="s">
        <v>82</v>
      </c>
      <c r="B239" s="6"/>
      <c r="C239" s="6" t="s">
        <v>218</v>
      </c>
      <c r="D239" s="6" t="s">
        <v>483</v>
      </c>
      <c r="E239" s="6" t="s">
        <v>805</v>
      </c>
      <c r="F239" s="21">
        <v>15</v>
      </c>
      <c r="G239" s="21">
        <v>0</v>
      </c>
      <c r="H239" s="21">
        <f>F239*AE239</f>
        <v>0</v>
      </c>
      <c r="I239" s="21">
        <f>J239-H239</f>
        <v>0</v>
      </c>
      <c r="J239" s="21">
        <f>F239*G239</f>
        <v>0</v>
      </c>
      <c r="K239" s="21">
        <v>0.0019</v>
      </c>
      <c r="L239" s="21">
        <f>F239*K239</f>
        <v>0.0285</v>
      </c>
      <c r="M239" s="33" t="s">
        <v>829</v>
      </c>
      <c r="N239" s="33" t="s">
        <v>831</v>
      </c>
      <c r="O239" s="21">
        <f>IF(N239="5",I239,0)</f>
        <v>0</v>
      </c>
      <c r="Z239" s="21">
        <f>IF(AD239=0,J239,0)</f>
        <v>0</v>
      </c>
      <c r="AA239" s="21">
        <f>IF(AD239=15,J239,0)</f>
        <v>0</v>
      </c>
      <c r="AB239" s="21">
        <f>IF(AD239=21,J239,0)</f>
        <v>0</v>
      </c>
      <c r="AD239" s="36">
        <v>21</v>
      </c>
      <c r="AE239" s="36">
        <f>G239*1</f>
        <v>0</v>
      </c>
      <c r="AF239" s="36">
        <f>G239*(1-1)</f>
        <v>0</v>
      </c>
      <c r="AM239" s="36">
        <f>F239*AE239</f>
        <v>0</v>
      </c>
      <c r="AN239" s="36">
        <f>F239*AF239</f>
        <v>0</v>
      </c>
      <c r="AO239" s="37" t="s">
        <v>849</v>
      </c>
      <c r="AP239" s="37" t="s">
        <v>865</v>
      </c>
      <c r="AQ239" s="29" t="s">
        <v>870</v>
      </c>
    </row>
    <row r="240" spans="4:6" ht="12.75">
      <c r="D240" s="15" t="s">
        <v>408</v>
      </c>
      <c r="F240" s="20">
        <v>2</v>
      </c>
    </row>
    <row r="241" spans="4:6" ht="12.75">
      <c r="D241" s="15" t="s">
        <v>409</v>
      </c>
      <c r="F241" s="20">
        <v>2</v>
      </c>
    </row>
    <row r="242" spans="4:6" ht="12.75">
      <c r="D242" s="15" t="s">
        <v>410</v>
      </c>
      <c r="F242" s="20">
        <v>2</v>
      </c>
    </row>
    <row r="243" spans="4:6" ht="12.75">
      <c r="D243" s="15" t="s">
        <v>411</v>
      </c>
      <c r="F243" s="20">
        <v>2</v>
      </c>
    </row>
    <row r="244" spans="4:6" ht="12.75">
      <c r="D244" s="15" t="s">
        <v>412</v>
      </c>
      <c r="F244" s="20">
        <v>2</v>
      </c>
    </row>
    <row r="245" spans="4:6" ht="12.75">
      <c r="D245" s="15" t="s">
        <v>413</v>
      </c>
      <c r="F245" s="20">
        <v>2</v>
      </c>
    </row>
    <row r="246" spans="4:6" ht="12.75">
      <c r="D246" s="15" t="s">
        <v>414</v>
      </c>
      <c r="F246" s="20">
        <v>1</v>
      </c>
    </row>
    <row r="247" spans="4:6" ht="12.75">
      <c r="D247" s="15" t="s">
        <v>415</v>
      </c>
      <c r="F247" s="20">
        <v>2</v>
      </c>
    </row>
    <row r="248" spans="1:43" ht="12.75">
      <c r="A248" s="6" t="s">
        <v>83</v>
      </c>
      <c r="B248" s="6"/>
      <c r="C248" s="6" t="s">
        <v>219</v>
      </c>
      <c r="D248" s="6" t="s">
        <v>484</v>
      </c>
      <c r="E248" s="6" t="s">
        <v>805</v>
      </c>
      <c r="F248" s="21">
        <v>29</v>
      </c>
      <c r="G248" s="21">
        <v>0</v>
      </c>
      <c r="H248" s="21">
        <f>F248*AE248</f>
        <v>0</v>
      </c>
      <c r="I248" s="21">
        <f>J248-H248</f>
        <v>0</v>
      </c>
      <c r="J248" s="21">
        <f>F248*G248</f>
        <v>0</v>
      </c>
      <c r="K248" s="21">
        <v>0</v>
      </c>
      <c r="L248" s="21">
        <f>F248*K248</f>
        <v>0</v>
      </c>
      <c r="M248" s="33"/>
      <c r="N248" s="33" t="s">
        <v>831</v>
      </c>
      <c r="O248" s="21">
        <f>IF(N248="5",I248,0)</f>
        <v>0</v>
      </c>
      <c r="Z248" s="21">
        <f>IF(AD248=0,J248,0)</f>
        <v>0</v>
      </c>
      <c r="AA248" s="21">
        <f>IF(AD248=15,J248,0)</f>
        <v>0</v>
      </c>
      <c r="AB248" s="21">
        <f>IF(AD248=21,J248,0)</f>
        <v>0</v>
      </c>
      <c r="AD248" s="36">
        <v>21</v>
      </c>
      <c r="AE248" s="36">
        <f>G248*1</f>
        <v>0</v>
      </c>
      <c r="AF248" s="36">
        <f>G248*(1-1)</f>
        <v>0</v>
      </c>
      <c r="AM248" s="36">
        <f>F248*AE248</f>
        <v>0</v>
      </c>
      <c r="AN248" s="36">
        <f>F248*AF248</f>
        <v>0</v>
      </c>
      <c r="AO248" s="37" t="s">
        <v>849</v>
      </c>
      <c r="AP248" s="37" t="s">
        <v>865</v>
      </c>
      <c r="AQ248" s="29" t="s">
        <v>870</v>
      </c>
    </row>
    <row r="249" spans="4:6" ht="12.75">
      <c r="D249" s="15" t="s">
        <v>485</v>
      </c>
      <c r="F249" s="20">
        <v>4</v>
      </c>
    </row>
    <row r="250" spans="4:6" ht="12.75">
      <c r="D250" s="15" t="s">
        <v>486</v>
      </c>
      <c r="F250" s="20">
        <v>4</v>
      </c>
    </row>
    <row r="251" spans="4:6" ht="12.75">
      <c r="D251" s="15" t="s">
        <v>487</v>
      </c>
      <c r="F251" s="20">
        <v>4</v>
      </c>
    </row>
    <row r="252" spans="4:6" ht="12.75">
      <c r="D252" s="15" t="s">
        <v>488</v>
      </c>
      <c r="F252" s="20">
        <v>4</v>
      </c>
    </row>
    <row r="253" spans="4:6" ht="12.75">
      <c r="D253" s="15" t="s">
        <v>489</v>
      </c>
      <c r="F253" s="20">
        <v>4</v>
      </c>
    </row>
    <row r="254" spans="4:6" ht="12.75">
      <c r="D254" s="15" t="s">
        <v>490</v>
      </c>
      <c r="F254" s="20">
        <v>4</v>
      </c>
    </row>
    <row r="255" spans="4:6" ht="12.75">
      <c r="D255" s="15" t="s">
        <v>414</v>
      </c>
      <c r="F255" s="20">
        <v>1</v>
      </c>
    </row>
    <row r="256" spans="4:6" ht="12.75">
      <c r="D256" s="15" t="s">
        <v>491</v>
      </c>
      <c r="F256" s="20">
        <v>4</v>
      </c>
    </row>
    <row r="257" spans="1:43" ht="12.75">
      <c r="A257" s="4" t="s">
        <v>84</v>
      </c>
      <c r="B257" s="4"/>
      <c r="C257" s="4" t="s">
        <v>220</v>
      </c>
      <c r="D257" s="4" t="s">
        <v>492</v>
      </c>
      <c r="E257" s="4" t="s">
        <v>805</v>
      </c>
      <c r="F257" s="19">
        <v>7</v>
      </c>
      <c r="G257" s="19">
        <v>0</v>
      </c>
      <c r="H257" s="19">
        <f>F257*AE257</f>
        <v>0</v>
      </c>
      <c r="I257" s="19">
        <f>J257-H257</f>
        <v>0</v>
      </c>
      <c r="J257" s="19">
        <f>F257*G257</f>
        <v>0</v>
      </c>
      <c r="K257" s="19">
        <v>0</v>
      </c>
      <c r="L257" s="19">
        <f>F257*K257</f>
        <v>0</v>
      </c>
      <c r="M257" s="32" t="s">
        <v>829</v>
      </c>
      <c r="N257" s="32" t="s">
        <v>7</v>
      </c>
      <c r="O257" s="19">
        <f>IF(N257="5",I257,0)</f>
        <v>0</v>
      </c>
      <c r="Z257" s="19">
        <f>IF(AD257=0,J257,0)</f>
        <v>0</v>
      </c>
      <c r="AA257" s="19">
        <f>IF(AD257=15,J257,0)</f>
        <v>0</v>
      </c>
      <c r="AB257" s="19">
        <f>IF(AD257=21,J257,0)</f>
        <v>0</v>
      </c>
      <c r="AD257" s="36">
        <v>21</v>
      </c>
      <c r="AE257" s="36">
        <f>G257*0</f>
        <v>0</v>
      </c>
      <c r="AF257" s="36">
        <f>G257*(1-0)</f>
        <v>0</v>
      </c>
      <c r="AM257" s="36">
        <f>F257*AE257</f>
        <v>0</v>
      </c>
      <c r="AN257" s="36">
        <f>F257*AF257</f>
        <v>0</v>
      </c>
      <c r="AO257" s="37" t="s">
        <v>849</v>
      </c>
      <c r="AP257" s="37" t="s">
        <v>865</v>
      </c>
      <c r="AQ257" s="29" t="s">
        <v>870</v>
      </c>
    </row>
    <row r="258" spans="4:6" ht="12.75">
      <c r="D258" s="15" t="s">
        <v>353</v>
      </c>
      <c r="F258" s="20">
        <v>1</v>
      </c>
    </row>
    <row r="259" spans="4:6" ht="12.75">
      <c r="D259" s="15" t="s">
        <v>354</v>
      </c>
      <c r="F259" s="20">
        <v>1</v>
      </c>
    </row>
    <row r="260" spans="4:6" ht="12.75">
      <c r="D260" s="15" t="s">
        <v>355</v>
      </c>
      <c r="F260" s="20">
        <v>1</v>
      </c>
    </row>
    <row r="261" spans="4:6" ht="12.75">
      <c r="D261" s="15" t="s">
        <v>356</v>
      </c>
      <c r="F261" s="20">
        <v>1</v>
      </c>
    </row>
    <row r="262" spans="4:6" ht="12.75">
      <c r="D262" s="15" t="s">
        <v>357</v>
      </c>
      <c r="F262" s="20">
        <v>1</v>
      </c>
    </row>
    <row r="263" spans="4:6" ht="12.75">
      <c r="D263" s="15" t="s">
        <v>358</v>
      </c>
      <c r="F263" s="20">
        <v>1</v>
      </c>
    </row>
    <row r="264" spans="4:6" ht="12.75">
      <c r="D264" s="15" t="s">
        <v>359</v>
      </c>
      <c r="F264" s="20">
        <v>1</v>
      </c>
    </row>
    <row r="265" spans="1:43" ht="12.75">
      <c r="A265" s="4" t="s">
        <v>85</v>
      </c>
      <c r="B265" s="4"/>
      <c r="C265" s="4" t="s">
        <v>221</v>
      </c>
      <c r="D265" s="4" t="s">
        <v>493</v>
      </c>
      <c r="E265" s="4" t="s">
        <v>805</v>
      </c>
      <c r="F265" s="19">
        <v>7</v>
      </c>
      <c r="G265" s="19">
        <v>0</v>
      </c>
      <c r="H265" s="19">
        <f>F265*AE265</f>
        <v>0</v>
      </c>
      <c r="I265" s="19">
        <f>J265-H265</f>
        <v>0</v>
      </c>
      <c r="J265" s="19">
        <f>F265*G265</f>
        <v>0</v>
      </c>
      <c r="K265" s="19">
        <v>0</v>
      </c>
      <c r="L265" s="19">
        <f>F265*K265</f>
        <v>0</v>
      </c>
      <c r="M265" s="32" t="s">
        <v>829</v>
      </c>
      <c r="N265" s="32" t="s">
        <v>7</v>
      </c>
      <c r="O265" s="19">
        <f>IF(N265="5",I265,0)</f>
        <v>0</v>
      </c>
      <c r="Z265" s="19">
        <f>IF(AD265=0,J265,0)</f>
        <v>0</v>
      </c>
      <c r="AA265" s="19">
        <f>IF(AD265=15,J265,0)</f>
        <v>0</v>
      </c>
      <c r="AB265" s="19">
        <f>IF(AD265=21,J265,0)</f>
        <v>0</v>
      </c>
      <c r="AD265" s="36">
        <v>21</v>
      </c>
      <c r="AE265" s="36">
        <f>G265*0</f>
        <v>0</v>
      </c>
      <c r="AF265" s="36">
        <f>G265*(1-0)</f>
        <v>0</v>
      </c>
      <c r="AM265" s="36">
        <f>F265*AE265</f>
        <v>0</v>
      </c>
      <c r="AN265" s="36">
        <f>F265*AF265</f>
        <v>0</v>
      </c>
      <c r="AO265" s="37" t="s">
        <v>849</v>
      </c>
      <c r="AP265" s="37" t="s">
        <v>865</v>
      </c>
      <c r="AQ265" s="29" t="s">
        <v>870</v>
      </c>
    </row>
    <row r="266" spans="4:6" ht="12.75">
      <c r="D266" s="15" t="s">
        <v>494</v>
      </c>
      <c r="F266" s="20">
        <v>7</v>
      </c>
    </row>
    <row r="267" spans="1:43" ht="12.75">
      <c r="A267" s="6" t="s">
        <v>86</v>
      </c>
      <c r="B267" s="6"/>
      <c r="C267" s="6" t="s">
        <v>222</v>
      </c>
      <c r="D267" s="6" t="s">
        <v>495</v>
      </c>
      <c r="E267" s="6" t="s">
        <v>805</v>
      </c>
      <c r="F267" s="21">
        <v>7</v>
      </c>
      <c r="G267" s="21">
        <v>0</v>
      </c>
      <c r="H267" s="21">
        <f>F267*AE267</f>
        <v>0</v>
      </c>
      <c r="I267" s="21">
        <f>J267-H267</f>
        <v>0</v>
      </c>
      <c r="J267" s="21">
        <f>F267*G267</f>
        <v>0</v>
      </c>
      <c r="K267" s="21">
        <v>0.0008</v>
      </c>
      <c r="L267" s="21">
        <f>F267*K267</f>
        <v>0.0056</v>
      </c>
      <c r="M267" s="33" t="s">
        <v>829</v>
      </c>
      <c r="N267" s="33" t="s">
        <v>831</v>
      </c>
      <c r="O267" s="21">
        <f>IF(N267="5",I267,0)</f>
        <v>0</v>
      </c>
      <c r="Z267" s="21">
        <f>IF(AD267=0,J267,0)</f>
        <v>0</v>
      </c>
      <c r="AA267" s="21">
        <f>IF(AD267=15,J267,0)</f>
        <v>0</v>
      </c>
      <c r="AB267" s="21">
        <f>IF(AD267=21,J267,0)</f>
        <v>0</v>
      </c>
      <c r="AD267" s="36">
        <v>21</v>
      </c>
      <c r="AE267" s="36">
        <f>G267*1</f>
        <v>0</v>
      </c>
      <c r="AF267" s="36">
        <f>G267*(1-1)</f>
        <v>0</v>
      </c>
      <c r="AM267" s="36">
        <f>F267*AE267</f>
        <v>0</v>
      </c>
      <c r="AN267" s="36">
        <f>F267*AF267</f>
        <v>0</v>
      </c>
      <c r="AO267" s="37" t="s">
        <v>849</v>
      </c>
      <c r="AP267" s="37" t="s">
        <v>865</v>
      </c>
      <c r="AQ267" s="29" t="s">
        <v>870</v>
      </c>
    </row>
    <row r="268" spans="4:6" ht="12.75">
      <c r="D268" s="15" t="s">
        <v>496</v>
      </c>
      <c r="F268" s="20">
        <v>7</v>
      </c>
    </row>
    <row r="269" spans="1:37" ht="12.75">
      <c r="A269" s="5"/>
      <c r="B269" s="13"/>
      <c r="C269" s="13" t="s">
        <v>223</v>
      </c>
      <c r="D269" s="67" t="s">
        <v>497</v>
      </c>
      <c r="E269" s="68"/>
      <c r="F269" s="68"/>
      <c r="G269" s="68"/>
      <c r="H269" s="39">
        <f>SUM(H270:H312)</f>
        <v>0</v>
      </c>
      <c r="I269" s="39">
        <f>SUM(I270:I312)</f>
        <v>0</v>
      </c>
      <c r="J269" s="39">
        <f>H269+I269</f>
        <v>0</v>
      </c>
      <c r="K269" s="29"/>
      <c r="L269" s="39">
        <f>SUM(L270:L312)</f>
        <v>0.8357199999999999</v>
      </c>
      <c r="M269" s="29"/>
      <c r="P269" s="39">
        <f>IF(Q269="PR",J269,SUM(O270:O312))</f>
        <v>0</v>
      </c>
      <c r="Q269" s="29" t="s">
        <v>835</v>
      </c>
      <c r="R269" s="39">
        <f>IF(Q269="HS",H269,0)</f>
        <v>0</v>
      </c>
      <c r="S269" s="39">
        <f>IF(Q269="HS",I269-P269,0)</f>
        <v>0</v>
      </c>
      <c r="T269" s="39">
        <f>IF(Q269="PS",H269,0)</f>
        <v>0</v>
      </c>
      <c r="U269" s="39">
        <f>IF(Q269="PS",I269-P269,0)</f>
        <v>0</v>
      </c>
      <c r="V269" s="39">
        <f>IF(Q269="MP",H269,0)</f>
        <v>0</v>
      </c>
      <c r="W269" s="39">
        <f>IF(Q269="MP",I269-P269,0)</f>
        <v>0</v>
      </c>
      <c r="X269" s="39">
        <f>IF(Q269="OM",H269,0)</f>
        <v>0</v>
      </c>
      <c r="Y269" s="29"/>
      <c r="AI269" s="39">
        <f>SUM(Z270:Z312)</f>
        <v>0</v>
      </c>
      <c r="AJ269" s="39">
        <f>SUM(AA270:AA312)</f>
        <v>0</v>
      </c>
      <c r="AK269" s="39">
        <f>SUM(AB270:AB312)</f>
        <v>0</v>
      </c>
    </row>
    <row r="270" spans="1:43" ht="12.75">
      <c r="A270" s="4" t="s">
        <v>87</v>
      </c>
      <c r="B270" s="4"/>
      <c r="C270" s="4" t="s">
        <v>224</v>
      </c>
      <c r="D270" s="4" t="s">
        <v>498</v>
      </c>
      <c r="E270" s="4" t="s">
        <v>805</v>
      </c>
      <c r="F270" s="19">
        <v>42</v>
      </c>
      <c r="G270" s="19">
        <v>0</v>
      </c>
      <c r="H270" s="19">
        <f>F270*AE270</f>
        <v>0</v>
      </c>
      <c r="I270" s="19">
        <f>J270-H270</f>
        <v>0</v>
      </c>
      <c r="J270" s="19">
        <f>F270*G270</f>
        <v>0</v>
      </c>
      <c r="K270" s="19">
        <v>0.0018</v>
      </c>
      <c r="L270" s="19">
        <f>F270*K270</f>
        <v>0.0756</v>
      </c>
      <c r="M270" s="32" t="s">
        <v>829</v>
      </c>
      <c r="N270" s="32" t="s">
        <v>7</v>
      </c>
      <c r="O270" s="19">
        <f>IF(N270="5",I270,0)</f>
        <v>0</v>
      </c>
      <c r="Z270" s="19">
        <f>IF(AD270=0,J270,0)</f>
        <v>0</v>
      </c>
      <c r="AA270" s="19">
        <f>IF(AD270=15,J270,0)</f>
        <v>0</v>
      </c>
      <c r="AB270" s="19">
        <f>IF(AD270=21,J270,0)</f>
        <v>0</v>
      </c>
      <c r="AD270" s="36">
        <v>21</v>
      </c>
      <c r="AE270" s="36">
        <f>G270*0</f>
        <v>0</v>
      </c>
      <c r="AF270" s="36">
        <f>G270*(1-0)</f>
        <v>0</v>
      </c>
      <c r="AM270" s="36">
        <f>F270*AE270</f>
        <v>0</v>
      </c>
      <c r="AN270" s="36">
        <f>F270*AF270</f>
        <v>0</v>
      </c>
      <c r="AO270" s="37" t="s">
        <v>850</v>
      </c>
      <c r="AP270" s="37" t="s">
        <v>866</v>
      </c>
      <c r="AQ270" s="29" t="s">
        <v>870</v>
      </c>
    </row>
    <row r="271" spans="4:6" ht="12.75">
      <c r="D271" s="15" t="s">
        <v>499</v>
      </c>
      <c r="F271" s="20">
        <v>1</v>
      </c>
    </row>
    <row r="272" spans="4:6" ht="12.75">
      <c r="D272" s="15" t="s">
        <v>500</v>
      </c>
      <c r="F272" s="20">
        <v>5</v>
      </c>
    </row>
    <row r="273" spans="4:6" ht="12.75">
      <c r="D273" s="15" t="s">
        <v>501</v>
      </c>
      <c r="F273" s="20">
        <v>5</v>
      </c>
    </row>
    <row r="274" spans="4:6" ht="12.75">
      <c r="D274" s="15" t="s">
        <v>502</v>
      </c>
      <c r="F274" s="20">
        <v>5</v>
      </c>
    </row>
    <row r="275" spans="4:6" ht="12.75">
      <c r="D275" s="15" t="s">
        <v>503</v>
      </c>
      <c r="F275" s="20">
        <v>5</v>
      </c>
    </row>
    <row r="276" spans="4:6" ht="12.75">
      <c r="D276" s="15" t="s">
        <v>504</v>
      </c>
      <c r="F276" s="20">
        <v>5</v>
      </c>
    </row>
    <row r="277" spans="4:6" ht="12.75">
      <c r="D277" s="15" t="s">
        <v>505</v>
      </c>
      <c r="F277" s="20">
        <v>5</v>
      </c>
    </row>
    <row r="278" spans="4:6" ht="12.75">
      <c r="D278" s="15" t="s">
        <v>506</v>
      </c>
      <c r="F278" s="20">
        <v>1</v>
      </c>
    </row>
    <row r="279" spans="4:6" ht="12.75">
      <c r="D279" s="15" t="s">
        <v>507</v>
      </c>
      <c r="F279" s="20">
        <v>5</v>
      </c>
    </row>
    <row r="280" spans="4:6" ht="12.75">
      <c r="D280" s="15" t="s">
        <v>508</v>
      </c>
      <c r="F280" s="20">
        <v>5</v>
      </c>
    </row>
    <row r="281" spans="1:43" ht="12.75">
      <c r="A281" s="4" t="s">
        <v>88</v>
      </c>
      <c r="B281" s="4"/>
      <c r="C281" s="4" t="s">
        <v>225</v>
      </c>
      <c r="D281" s="4" t="s">
        <v>509</v>
      </c>
      <c r="E281" s="4" t="s">
        <v>805</v>
      </c>
      <c r="F281" s="19">
        <v>26</v>
      </c>
      <c r="G281" s="19">
        <v>0</v>
      </c>
      <c r="H281" s="19">
        <f>F281*AE281</f>
        <v>0</v>
      </c>
      <c r="I281" s="19">
        <f>J281-H281</f>
        <v>0</v>
      </c>
      <c r="J281" s="19">
        <f>F281*G281</f>
        <v>0</v>
      </c>
      <c r="K281" s="19">
        <v>1E-05</v>
      </c>
      <c r="L281" s="19">
        <f>F281*K281</f>
        <v>0.00026000000000000003</v>
      </c>
      <c r="M281" s="32" t="s">
        <v>829</v>
      </c>
      <c r="N281" s="32" t="s">
        <v>7</v>
      </c>
      <c r="O281" s="19">
        <f>IF(N281="5",I281,0)</f>
        <v>0</v>
      </c>
      <c r="Z281" s="19">
        <f>IF(AD281=0,J281,0)</f>
        <v>0</v>
      </c>
      <c r="AA281" s="19">
        <f>IF(AD281=15,J281,0)</f>
        <v>0</v>
      </c>
      <c r="AB281" s="19">
        <f>IF(AD281=21,J281,0)</f>
        <v>0</v>
      </c>
      <c r="AD281" s="36">
        <v>21</v>
      </c>
      <c r="AE281" s="36">
        <f>G281*0.0298064516129032</f>
        <v>0</v>
      </c>
      <c r="AF281" s="36">
        <f>G281*(1-0.0298064516129032)</f>
        <v>0</v>
      </c>
      <c r="AM281" s="36">
        <f>F281*AE281</f>
        <v>0</v>
      </c>
      <c r="AN281" s="36">
        <f>F281*AF281</f>
        <v>0</v>
      </c>
      <c r="AO281" s="37" t="s">
        <v>850</v>
      </c>
      <c r="AP281" s="37" t="s">
        <v>866</v>
      </c>
      <c r="AQ281" s="29" t="s">
        <v>870</v>
      </c>
    </row>
    <row r="282" spans="4:6" ht="12.75">
      <c r="D282" s="15" t="s">
        <v>510</v>
      </c>
      <c r="F282" s="20">
        <v>26</v>
      </c>
    </row>
    <row r="283" spans="1:43" ht="12.75">
      <c r="A283" s="6" t="s">
        <v>89</v>
      </c>
      <c r="B283" s="6"/>
      <c r="C283" s="6" t="s">
        <v>226</v>
      </c>
      <c r="D283" s="6" t="s">
        <v>511</v>
      </c>
      <c r="E283" s="6" t="s">
        <v>805</v>
      </c>
      <c r="F283" s="21">
        <v>26</v>
      </c>
      <c r="G283" s="21">
        <v>0</v>
      </c>
      <c r="H283" s="21">
        <f>F283*AE283</f>
        <v>0</v>
      </c>
      <c r="I283" s="21">
        <f>J283-H283</f>
        <v>0</v>
      </c>
      <c r="J283" s="21">
        <f>F283*G283</f>
        <v>0</v>
      </c>
      <c r="K283" s="21">
        <v>0.00107</v>
      </c>
      <c r="L283" s="21">
        <f>F283*K283</f>
        <v>0.02782</v>
      </c>
      <c r="M283" s="33" t="s">
        <v>829</v>
      </c>
      <c r="N283" s="33" t="s">
        <v>831</v>
      </c>
      <c r="O283" s="21">
        <f>IF(N283="5",I283,0)</f>
        <v>0</v>
      </c>
      <c r="Z283" s="21">
        <f>IF(AD283=0,J283,0)</f>
        <v>0</v>
      </c>
      <c r="AA283" s="21">
        <f>IF(AD283=15,J283,0)</f>
        <v>0</v>
      </c>
      <c r="AB283" s="21">
        <f>IF(AD283=21,J283,0)</f>
        <v>0</v>
      </c>
      <c r="AD283" s="36">
        <v>21</v>
      </c>
      <c r="AE283" s="36">
        <f>G283*1</f>
        <v>0</v>
      </c>
      <c r="AF283" s="36">
        <f>G283*(1-1)</f>
        <v>0</v>
      </c>
      <c r="AM283" s="36">
        <f>F283*AE283</f>
        <v>0</v>
      </c>
      <c r="AN283" s="36">
        <f>F283*AF283</f>
        <v>0</v>
      </c>
      <c r="AO283" s="37" t="s">
        <v>850</v>
      </c>
      <c r="AP283" s="37" t="s">
        <v>866</v>
      </c>
      <c r="AQ283" s="29" t="s">
        <v>870</v>
      </c>
    </row>
    <row r="284" spans="4:6" ht="12.75">
      <c r="D284" s="15" t="s">
        <v>499</v>
      </c>
      <c r="F284" s="20">
        <v>1</v>
      </c>
    </row>
    <row r="285" spans="4:6" ht="12.75">
      <c r="D285" s="15" t="s">
        <v>512</v>
      </c>
      <c r="F285" s="20">
        <v>3</v>
      </c>
    </row>
    <row r="286" spans="4:6" ht="12.75">
      <c r="D286" s="15" t="s">
        <v>513</v>
      </c>
      <c r="F286" s="20">
        <v>3</v>
      </c>
    </row>
    <row r="287" spans="4:6" ht="12.75">
      <c r="D287" s="15" t="s">
        <v>514</v>
      </c>
      <c r="F287" s="20">
        <v>3</v>
      </c>
    </row>
    <row r="288" spans="4:6" ht="12.75">
      <c r="D288" s="15" t="s">
        <v>515</v>
      </c>
      <c r="F288" s="20">
        <v>3</v>
      </c>
    </row>
    <row r="289" spans="4:6" ht="12.75">
      <c r="D289" s="15" t="s">
        <v>516</v>
      </c>
      <c r="F289" s="20">
        <v>3</v>
      </c>
    </row>
    <row r="290" spans="4:6" ht="12.75">
      <c r="D290" s="15" t="s">
        <v>517</v>
      </c>
      <c r="F290" s="20">
        <v>3</v>
      </c>
    </row>
    <row r="291" spans="4:6" ht="12.75">
      <c r="D291" s="15" t="s">
        <v>506</v>
      </c>
      <c r="F291" s="20">
        <v>1</v>
      </c>
    </row>
    <row r="292" spans="4:6" ht="12.75">
      <c r="D292" s="15" t="s">
        <v>518</v>
      </c>
      <c r="F292" s="20">
        <v>3</v>
      </c>
    </row>
    <row r="293" spans="4:6" ht="12.75">
      <c r="D293" s="15" t="s">
        <v>519</v>
      </c>
      <c r="F293" s="20">
        <v>3</v>
      </c>
    </row>
    <row r="294" spans="1:43" ht="12.75">
      <c r="A294" s="4" t="s">
        <v>90</v>
      </c>
      <c r="B294" s="4"/>
      <c r="C294" s="4" t="s">
        <v>227</v>
      </c>
      <c r="D294" s="4" t="s">
        <v>520</v>
      </c>
      <c r="E294" s="4" t="s">
        <v>805</v>
      </c>
      <c r="F294" s="19">
        <v>16</v>
      </c>
      <c r="G294" s="19">
        <v>0</v>
      </c>
      <c r="H294" s="19">
        <f>F294*AE294</f>
        <v>0</v>
      </c>
      <c r="I294" s="19">
        <f>J294-H294</f>
        <v>0</v>
      </c>
      <c r="J294" s="19">
        <f>F294*G294</f>
        <v>0</v>
      </c>
      <c r="K294" s="19">
        <v>0.00122</v>
      </c>
      <c r="L294" s="19">
        <f>F294*K294</f>
        <v>0.01952</v>
      </c>
      <c r="M294" s="32" t="s">
        <v>829</v>
      </c>
      <c r="N294" s="32" t="s">
        <v>9</v>
      </c>
      <c r="O294" s="19">
        <f>IF(N294="5",I294,0)</f>
        <v>0</v>
      </c>
      <c r="Z294" s="19">
        <f>IF(AD294=0,J294,0)</f>
        <v>0</v>
      </c>
      <c r="AA294" s="19">
        <f>IF(AD294=15,J294,0)</f>
        <v>0</v>
      </c>
      <c r="AB294" s="19">
        <f>IF(AD294=21,J294,0)</f>
        <v>0</v>
      </c>
      <c r="AD294" s="36">
        <v>21</v>
      </c>
      <c r="AE294" s="36">
        <f>G294*0.132332858548333</f>
        <v>0</v>
      </c>
      <c r="AF294" s="36">
        <f>G294*(1-0.132332858548333)</f>
        <v>0</v>
      </c>
      <c r="AM294" s="36">
        <f>F294*AE294</f>
        <v>0</v>
      </c>
      <c r="AN294" s="36">
        <f>F294*AF294</f>
        <v>0</v>
      </c>
      <c r="AO294" s="37" t="s">
        <v>850</v>
      </c>
      <c r="AP294" s="37" t="s">
        <v>866</v>
      </c>
      <c r="AQ294" s="29" t="s">
        <v>870</v>
      </c>
    </row>
    <row r="295" spans="4:6" ht="12.75">
      <c r="D295" s="15" t="s">
        <v>521</v>
      </c>
      <c r="F295" s="20">
        <v>2</v>
      </c>
    </row>
    <row r="296" spans="4:6" ht="12.75">
      <c r="D296" s="15" t="s">
        <v>522</v>
      </c>
      <c r="F296" s="20">
        <v>2</v>
      </c>
    </row>
    <row r="297" spans="4:6" ht="12.75">
      <c r="D297" s="15" t="s">
        <v>523</v>
      </c>
      <c r="F297" s="20">
        <v>2</v>
      </c>
    </row>
    <row r="298" spans="4:6" ht="12.75">
      <c r="D298" s="15" t="s">
        <v>524</v>
      </c>
      <c r="F298" s="20">
        <v>2</v>
      </c>
    </row>
    <row r="299" spans="4:6" ht="12.75">
      <c r="D299" s="15" t="s">
        <v>525</v>
      </c>
      <c r="F299" s="20">
        <v>2</v>
      </c>
    </row>
    <row r="300" spans="4:6" ht="12.75">
      <c r="D300" s="15" t="s">
        <v>526</v>
      </c>
      <c r="F300" s="20">
        <v>2</v>
      </c>
    </row>
    <row r="301" spans="4:6" ht="12.75">
      <c r="D301" s="15" t="s">
        <v>527</v>
      </c>
      <c r="F301" s="20">
        <v>2</v>
      </c>
    </row>
    <row r="302" spans="4:6" ht="12.75">
      <c r="D302" s="15" t="s">
        <v>528</v>
      </c>
      <c r="F302" s="20">
        <v>2</v>
      </c>
    </row>
    <row r="303" spans="1:43" ht="12.75">
      <c r="A303" s="6" t="s">
        <v>91</v>
      </c>
      <c r="B303" s="6"/>
      <c r="C303" s="6" t="s">
        <v>228</v>
      </c>
      <c r="D303" s="6" t="s">
        <v>529</v>
      </c>
      <c r="E303" s="6" t="s">
        <v>805</v>
      </c>
      <c r="F303" s="21">
        <v>16</v>
      </c>
      <c r="G303" s="21">
        <v>0</v>
      </c>
      <c r="H303" s="21">
        <f>F303*AE303</f>
        <v>0</v>
      </c>
      <c r="I303" s="21">
        <f>J303-H303</f>
        <v>0</v>
      </c>
      <c r="J303" s="21">
        <f>F303*G303</f>
        <v>0</v>
      </c>
      <c r="K303" s="21">
        <v>0.0138</v>
      </c>
      <c r="L303" s="21">
        <f>F303*K303</f>
        <v>0.2208</v>
      </c>
      <c r="M303" s="33" t="s">
        <v>829</v>
      </c>
      <c r="N303" s="33" t="s">
        <v>831</v>
      </c>
      <c r="O303" s="21">
        <f>IF(N303="5",I303,0)</f>
        <v>0</v>
      </c>
      <c r="Z303" s="21">
        <f>IF(AD303=0,J303,0)</f>
        <v>0</v>
      </c>
      <c r="AA303" s="21">
        <f>IF(AD303=15,J303,0)</f>
        <v>0</v>
      </c>
      <c r="AB303" s="21">
        <f>IF(AD303=21,J303,0)</f>
        <v>0</v>
      </c>
      <c r="AD303" s="36">
        <v>21</v>
      </c>
      <c r="AE303" s="36">
        <f>G303*1</f>
        <v>0</v>
      </c>
      <c r="AF303" s="36">
        <f>G303*(1-1)</f>
        <v>0</v>
      </c>
      <c r="AM303" s="36">
        <f>F303*AE303</f>
        <v>0</v>
      </c>
      <c r="AN303" s="36">
        <f>F303*AF303</f>
        <v>0</v>
      </c>
      <c r="AO303" s="37" t="s">
        <v>850</v>
      </c>
      <c r="AP303" s="37" t="s">
        <v>866</v>
      </c>
      <c r="AQ303" s="29" t="s">
        <v>870</v>
      </c>
    </row>
    <row r="304" spans="4:6" ht="12.75">
      <c r="D304" s="15" t="s">
        <v>530</v>
      </c>
      <c r="F304" s="20">
        <v>16</v>
      </c>
    </row>
    <row r="305" spans="1:43" ht="12.75">
      <c r="A305" s="4" t="s">
        <v>92</v>
      </c>
      <c r="B305" s="4"/>
      <c r="C305" s="4" t="s">
        <v>229</v>
      </c>
      <c r="D305" s="4" t="s">
        <v>531</v>
      </c>
      <c r="E305" s="4" t="s">
        <v>805</v>
      </c>
      <c r="F305" s="19">
        <v>26</v>
      </c>
      <c r="G305" s="19">
        <v>0</v>
      </c>
      <c r="H305" s="19">
        <f>F305*AE305</f>
        <v>0</v>
      </c>
      <c r="I305" s="19">
        <f>J305-H305</f>
        <v>0</v>
      </c>
      <c r="J305" s="19">
        <f>F305*G305</f>
        <v>0</v>
      </c>
      <c r="K305" s="19">
        <v>0.00162</v>
      </c>
      <c r="L305" s="19">
        <f>F305*K305</f>
        <v>0.04212</v>
      </c>
      <c r="M305" s="32" t="s">
        <v>829</v>
      </c>
      <c r="N305" s="32" t="s">
        <v>9</v>
      </c>
      <c r="O305" s="19">
        <f>IF(N305="5",I305,0)</f>
        <v>0</v>
      </c>
      <c r="Z305" s="19">
        <f>IF(AD305=0,J305,0)</f>
        <v>0</v>
      </c>
      <c r="AA305" s="19">
        <f>IF(AD305=15,J305,0)</f>
        <v>0</v>
      </c>
      <c r="AB305" s="19">
        <f>IF(AD305=21,J305,0)</f>
        <v>0</v>
      </c>
      <c r="AD305" s="36">
        <v>21</v>
      </c>
      <c r="AE305" s="36">
        <f>G305*0.159044679307549</f>
        <v>0</v>
      </c>
      <c r="AF305" s="36">
        <f>G305*(1-0.159044679307549)</f>
        <v>0</v>
      </c>
      <c r="AM305" s="36">
        <f>F305*AE305</f>
        <v>0</v>
      </c>
      <c r="AN305" s="36">
        <f>F305*AF305</f>
        <v>0</v>
      </c>
      <c r="AO305" s="37" t="s">
        <v>850</v>
      </c>
      <c r="AP305" s="37" t="s">
        <v>866</v>
      </c>
      <c r="AQ305" s="29" t="s">
        <v>870</v>
      </c>
    </row>
    <row r="306" spans="4:6" ht="12.75">
      <c r="D306" s="15" t="s">
        <v>532</v>
      </c>
      <c r="F306" s="20">
        <v>26</v>
      </c>
    </row>
    <row r="307" spans="1:43" ht="12.75">
      <c r="A307" s="6" t="s">
        <v>93</v>
      </c>
      <c r="B307" s="6"/>
      <c r="C307" s="6" t="s">
        <v>230</v>
      </c>
      <c r="D307" s="6" t="s">
        <v>533</v>
      </c>
      <c r="E307" s="6" t="s">
        <v>805</v>
      </c>
      <c r="F307" s="21">
        <v>26</v>
      </c>
      <c r="G307" s="21">
        <v>0</v>
      </c>
      <c r="H307" s="21">
        <f>F307*AE307</f>
        <v>0</v>
      </c>
      <c r="I307" s="21">
        <f>J307-H307</f>
        <v>0</v>
      </c>
      <c r="J307" s="21">
        <f>F307*G307</f>
        <v>0</v>
      </c>
      <c r="K307" s="21">
        <v>0.016</v>
      </c>
      <c r="L307" s="21">
        <f>F307*K307</f>
        <v>0.41600000000000004</v>
      </c>
      <c r="M307" s="33" t="s">
        <v>829</v>
      </c>
      <c r="N307" s="33" t="s">
        <v>831</v>
      </c>
      <c r="O307" s="21">
        <f>IF(N307="5",I307,0)</f>
        <v>0</v>
      </c>
      <c r="Z307" s="21">
        <f>IF(AD307=0,J307,0)</f>
        <v>0</v>
      </c>
      <c r="AA307" s="21">
        <f>IF(AD307=15,J307,0)</f>
        <v>0</v>
      </c>
      <c r="AB307" s="21">
        <f>IF(AD307=21,J307,0)</f>
        <v>0</v>
      </c>
      <c r="AD307" s="36">
        <v>21</v>
      </c>
      <c r="AE307" s="36">
        <f>G307*1</f>
        <v>0</v>
      </c>
      <c r="AF307" s="36">
        <f>G307*(1-1)</f>
        <v>0</v>
      </c>
      <c r="AM307" s="36">
        <f>F307*AE307</f>
        <v>0</v>
      </c>
      <c r="AN307" s="36">
        <f>F307*AF307</f>
        <v>0</v>
      </c>
      <c r="AO307" s="37" t="s">
        <v>850</v>
      </c>
      <c r="AP307" s="37" t="s">
        <v>866</v>
      </c>
      <c r="AQ307" s="29" t="s">
        <v>870</v>
      </c>
    </row>
    <row r="308" spans="4:6" ht="12.75">
      <c r="D308" s="15" t="s">
        <v>534</v>
      </c>
      <c r="F308" s="20">
        <v>26</v>
      </c>
    </row>
    <row r="309" spans="1:43" ht="12.75">
      <c r="A309" s="4" t="s">
        <v>94</v>
      </c>
      <c r="B309" s="4"/>
      <c r="C309" s="4" t="s">
        <v>231</v>
      </c>
      <c r="D309" s="4" t="s">
        <v>535</v>
      </c>
      <c r="E309" s="4" t="s">
        <v>805</v>
      </c>
      <c r="F309" s="19">
        <v>42</v>
      </c>
      <c r="G309" s="19">
        <v>0</v>
      </c>
      <c r="H309" s="19">
        <f>F309*AE309</f>
        <v>0</v>
      </c>
      <c r="I309" s="19">
        <f>J309-H309</f>
        <v>0</v>
      </c>
      <c r="J309" s="19">
        <f>F309*G309</f>
        <v>0</v>
      </c>
      <c r="K309" s="19">
        <v>0</v>
      </c>
      <c r="L309" s="19">
        <f>F309*K309</f>
        <v>0</v>
      </c>
      <c r="M309" s="32"/>
      <c r="N309" s="32" t="s">
        <v>7</v>
      </c>
      <c r="O309" s="19">
        <f>IF(N309="5",I309,0)</f>
        <v>0</v>
      </c>
      <c r="Z309" s="19">
        <f>IF(AD309=0,J309,0)</f>
        <v>0</v>
      </c>
      <c r="AA309" s="19">
        <f>IF(AD309=15,J309,0)</f>
        <v>0</v>
      </c>
      <c r="AB309" s="19">
        <f>IF(AD309=21,J309,0)</f>
        <v>0</v>
      </c>
      <c r="AD309" s="36">
        <v>21</v>
      </c>
      <c r="AE309" s="36">
        <f>G309*0</f>
        <v>0</v>
      </c>
      <c r="AF309" s="36">
        <f>G309*(1-0)</f>
        <v>0</v>
      </c>
      <c r="AM309" s="36">
        <f>F309*AE309</f>
        <v>0</v>
      </c>
      <c r="AN309" s="36">
        <f>F309*AF309</f>
        <v>0</v>
      </c>
      <c r="AO309" s="37" t="s">
        <v>850</v>
      </c>
      <c r="AP309" s="37" t="s">
        <v>866</v>
      </c>
      <c r="AQ309" s="29" t="s">
        <v>870</v>
      </c>
    </row>
    <row r="310" spans="4:6" ht="12.75">
      <c r="D310" s="15" t="s">
        <v>536</v>
      </c>
      <c r="F310" s="20">
        <v>16</v>
      </c>
    </row>
    <row r="311" spans="4:6" ht="12.75">
      <c r="D311" s="15" t="s">
        <v>537</v>
      </c>
      <c r="F311" s="20">
        <v>26</v>
      </c>
    </row>
    <row r="312" spans="1:43" ht="12.75">
      <c r="A312" s="6" t="s">
        <v>95</v>
      </c>
      <c r="B312" s="6"/>
      <c r="C312" s="6" t="s">
        <v>232</v>
      </c>
      <c r="D312" s="6" t="s">
        <v>538</v>
      </c>
      <c r="E312" s="6" t="s">
        <v>805</v>
      </c>
      <c r="F312" s="21">
        <v>42</v>
      </c>
      <c r="G312" s="21">
        <v>0</v>
      </c>
      <c r="H312" s="21">
        <f>F312*AE312</f>
        <v>0</v>
      </c>
      <c r="I312" s="21">
        <f>J312-H312</f>
        <v>0</v>
      </c>
      <c r="J312" s="21">
        <f>F312*G312</f>
        <v>0</v>
      </c>
      <c r="K312" s="21">
        <v>0.0008</v>
      </c>
      <c r="L312" s="21">
        <f>F312*K312</f>
        <v>0.033600000000000005</v>
      </c>
      <c r="M312" s="33" t="s">
        <v>829</v>
      </c>
      <c r="N312" s="33" t="s">
        <v>831</v>
      </c>
      <c r="O312" s="21">
        <f>IF(N312="5",I312,0)</f>
        <v>0</v>
      </c>
      <c r="Z312" s="21">
        <f>IF(AD312=0,J312,0)</f>
        <v>0</v>
      </c>
      <c r="AA312" s="21">
        <f>IF(AD312=15,J312,0)</f>
        <v>0</v>
      </c>
      <c r="AB312" s="21">
        <f>IF(AD312=21,J312,0)</f>
        <v>0</v>
      </c>
      <c r="AD312" s="36">
        <v>21</v>
      </c>
      <c r="AE312" s="36">
        <f>G312*1</f>
        <v>0</v>
      </c>
      <c r="AF312" s="36">
        <f>G312*(1-1)</f>
        <v>0</v>
      </c>
      <c r="AM312" s="36">
        <f>F312*AE312</f>
        <v>0</v>
      </c>
      <c r="AN312" s="36">
        <f>F312*AF312</f>
        <v>0</v>
      </c>
      <c r="AO312" s="37" t="s">
        <v>850</v>
      </c>
      <c r="AP312" s="37" t="s">
        <v>866</v>
      </c>
      <c r="AQ312" s="29" t="s">
        <v>870</v>
      </c>
    </row>
    <row r="313" spans="4:6" ht="12.75">
      <c r="D313" s="15" t="s">
        <v>539</v>
      </c>
      <c r="F313" s="20">
        <v>42</v>
      </c>
    </row>
    <row r="314" spans="1:37" ht="12.75">
      <c r="A314" s="5"/>
      <c r="B314" s="13"/>
      <c r="C314" s="13" t="s">
        <v>233</v>
      </c>
      <c r="D314" s="67" t="s">
        <v>540</v>
      </c>
      <c r="E314" s="68"/>
      <c r="F314" s="68"/>
      <c r="G314" s="68"/>
      <c r="H314" s="39">
        <f>SUM(H315:H329)</f>
        <v>0</v>
      </c>
      <c r="I314" s="39">
        <f>SUM(I315:I329)</f>
        <v>0</v>
      </c>
      <c r="J314" s="39">
        <f>H314+I314</f>
        <v>0</v>
      </c>
      <c r="K314" s="29"/>
      <c r="L314" s="39">
        <f>SUM(L315:L329)</f>
        <v>0.0171</v>
      </c>
      <c r="M314" s="29"/>
      <c r="P314" s="39">
        <f>IF(Q314="PR",J314,SUM(O315:O329))</f>
        <v>0</v>
      </c>
      <c r="Q314" s="29" t="s">
        <v>835</v>
      </c>
      <c r="R314" s="39">
        <f>IF(Q314="HS",H314,0)</f>
        <v>0</v>
      </c>
      <c r="S314" s="39">
        <f>IF(Q314="HS",I314-P314,0)</f>
        <v>0</v>
      </c>
      <c r="T314" s="39">
        <f>IF(Q314="PS",H314,0)</f>
        <v>0</v>
      </c>
      <c r="U314" s="39">
        <f>IF(Q314="PS",I314-P314,0)</f>
        <v>0</v>
      </c>
      <c r="V314" s="39">
        <f>IF(Q314="MP",H314,0)</f>
        <v>0</v>
      </c>
      <c r="W314" s="39">
        <f>IF(Q314="MP",I314-P314,0)</f>
        <v>0</v>
      </c>
      <c r="X314" s="39">
        <f>IF(Q314="OM",H314,0)</f>
        <v>0</v>
      </c>
      <c r="Y314" s="29"/>
      <c r="AI314" s="39">
        <f>SUM(Z315:Z329)</f>
        <v>0</v>
      </c>
      <c r="AJ314" s="39">
        <f>SUM(AA315:AA329)</f>
        <v>0</v>
      </c>
      <c r="AK314" s="39">
        <f>SUM(AB315:AB329)</f>
        <v>0</v>
      </c>
    </row>
    <row r="315" spans="1:43" ht="12.75">
      <c r="A315" s="4" t="s">
        <v>96</v>
      </c>
      <c r="B315" s="4"/>
      <c r="C315" s="4" t="s">
        <v>234</v>
      </c>
      <c r="D315" s="4" t="s">
        <v>541</v>
      </c>
      <c r="E315" s="4" t="s">
        <v>805</v>
      </c>
      <c r="F315" s="19">
        <v>9</v>
      </c>
      <c r="G315" s="19">
        <v>0</v>
      </c>
      <c r="H315" s="19">
        <f>F315*AE315</f>
        <v>0</v>
      </c>
      <c r="I315" s="19">
        <f>J315-H315</f>
        <v>0</v>
      </c>
      <c r="J315" s="19">
        <f>F315*G315</f>
        <v>0</v>
      </c>
      <c r="K315" s="19">
        <v>0</v>
      </c>
      <c r="L315" s="19">
        <f>F315*K315</f>
        <v>0</v>
      </c>
      <c r="M315" s="32" t="s">
        <v>829</v>
      </c>
      <c r="N315" s="32" t="s">
        <v>7</v>
      </c>
      <c r="O315" s="19">
        <f>IF(N315="5",I315,0)</f>
        <v>0</v>
      </c>
      <c r="Z315" s="19">
        <f>IF(AD315=0,J315,0)</f>
        <v>0</v>
      </c>
      <c r="AA315" s="19">
        <f>IF(AD315=15,J315,0)</f>
        <v>0</v>
      </c>
      <c r="AB315" s="19">
        <f>IF(AD315=21,J315,0)</f>
        <v>0</v>
      </c>
      <c r="AD315" s="36">
        <v>21</v>
      </c>
      <c r="AE315" s="36">
        <f>G315*0</f>
        <v>0</v>
      </c>
      <c r="AF315" s="36">
        <f>G315*(1-0)</f>
        <v>0</v>
      </c>
      <c r="AM315" s="36">
        <f>F315*AE315</f>
        <v>0</v>
      </c>
      <c r="AN315" s="36">
        <f>F315*AF315</f>
        <v>0</v>
      </c>
      <c r="AO315" s="37" t="s">
        <v>851</v>
      </c>
      <c r="AP315" s="37" t="s">
        <v>866</v>
      </c>
      <c r="AQ315" s="29" t="s">
        <v>870</v>
      </c>
    </row>
    <row r="316" spans="4:6" ht="12.75">
      <c r="D316" s="15" t="s">
        <v>542</v>
      </c>
      <c r="F316" s="20">
        <v>1</v>
      </c>
    </row>
    <row r="317" spans="4:6" ht="12.75">
      <c r="D317" s="15" t="s">
        <v>543</v>
      </c>
      <c r="F317" s="20">
        <v>8</v>
      </c>
    </row>
    <row r="318" spans="1:43" ht="12.75">
      <c r="A318" s="6" t="s">
        <v>97</v>
      </c>
      <c r="B318" s="6"/>
      <c r="C318" s="6" t="s">
        <v>235</v>
      </c>
      <c r="D318" s="6" t="s">
        <v>544</v>
      </c>
      <c r="E318" s="6" t="s">
        <v>805</v>
      </c>
      <c r="F318" s="21">
        <v>1</v>
      </c>
      <c r="G318" s="21">
        <v>0</v>
      </c>
      <c r="H318" s="21">
        <f>F318*AE318</f>
        <v>0</v>
      </c>
      <c r="I318" s="21">
        <f>J318-H318</f>
        <v>0</v>
      </c>
      <c r="J318" s="21">
        <f>F318*G318</f>
        <v>0</v>
      </c>
      <c r="K318" s="21">
        <v>0.0005</v>
      </c>
      <c r="L318" s="21">
        <f>F318*K318</f>
        <v>0.0005</v>
      </c>
      <c r="M318" s="33" t="s">
        <v>829</v>
      </c>
      <c r="N318" s="33" t="s">
        <v>831</v>
      </c>
      <c r="O318" s="21">
        <f>IF(N318="5",I318,0)</f>
        <v>0</v>
      </c>
      <c r="Z318" s="21">
        <f>IF(AD318=0,J318,0)</f>
        <v>0</v>
      </c>
      <c r="AA318" s="21">
        <f>IF(AD318=15,J318,0)</f>
        <v>0</v>
      </c>
      <c r="AB318" s="21">
        <f>IF(AD318=21,J318,0)</f>
        <v>0</v>
      </c>
      <c r="AD318" s="36">
        <v>21</v>
      </c>
      <c r="AE318" s="36">
        <f>G318*1</f>
        <v>0</v>
      </c>
      <c r="AF318" s="36">
        <f>G318*(1-1)</f>
        <v>0</v>
      </c>
      <c r="AM318" s="36">
        <f>F318*AE318</f>
        <v>0</v>
      </c>
      <c r="AN318" s="36">
        <f>F318*AF318</f>
        <v>0</v>
      </c>
      <c r="AO318" s="37" t="s">
        <v>851</v>
      </c>
      <c r="AP318" s="37" t="s">
        <v>866</v>
      </c>
      <c r="AQ318" s="29" t="s">
        <v>870</v>
      </c>
    </row>
    <row r="319" spans="4:6" ht="12.75">
      <c r="D319" s="15" t="s">
        <v>444</v>
      </c>
      <c r="F319" s="20">
        <v>1</v>
      </c>
    </row>
    <row r="320" spans="1:43" ht="12.75">
      <c r="A320" s="6" t="s">
        <v>98</v>
      </c>
      <c r="B320" s="6"/>
      <c r="C320" s="6" t="s">
        <v>236</v>
      </c>
      <c r="D320" s="6" t="s">
        <v>545</v>
      </c>
      <c r="E320" s="6" t="s">
        <v>805</v>
      </c>
      <c r="F320" s="21">
        <v>8</v>
      </c>
      <c r="G320" s="21">
        <v>0</v>
      </c>
      <c r="H320" s="21">
        <f>F320*AE320</f>
        <v>0</v>
      </c>
      <c r="I320" s="21">
        <f>J320-H320</f>
        <v>0</v>
      </c>
      <c r="J320" s="21">
        <f>F320*G320</f>
        <v>0</v>
      </c>
      <c r="K320" s="21">
        <v>0.00095</v>
      </c>
      <c r="L320" s="21">
        <f>F320*K320</f>
        <v>0.0076</v>
      </c>
      <c r="M320" s="33" t="s">
        <v>829</v>
      </c>
      <c r="N320" s="33" t="s">
        <v>831</v>
      </c>
      <c r="O320" s="21">
        <f>IF(N320="5",I320,0)</f>
        <v>0</v>
      </c>
      <c r="Z320" s="21">
        <f>IF(AD320=0,J320,0)</f>
        <v>0</v>
      </c>
      <c r="AA320" s="21">
        <f>IF(AD320=15,J320,0)</f>
        <v>0</v>
      </c>
      <c r="AB320" s="21">
        <f>IF(AD320=21,J320,0)</f>
        <v>0</v>
      </c>
      <c r="AD320" s="36">
        <v>21</v>
      </c>
      <c r="AE320" s="36">
        <f>G320*1</f>
        <v>0</v>
      </c>
      <c r="AF320" s="36">
        <f>G320*(1-1)</f>
        <v>0</v>
      </c>
      <c r="AM320" s="36">
        <f>F320*AE320</f>
        <v>0</v>
      </c>
      <c r="AN320" s="36">
        <f>F320*AF320</f>
        <v>0</v>
      </c>
      <c r="AO320" s="37" t="s">
        <v>851</v>
      </c>
      <c r="AP320" s="37" t="s">
        <v>866</v>
      </c>
      <c r="AQ320" s="29" t="s">
        <v>870</v>
      </c>
    </row>
    <row r="321" spans="4:6" ht="12.75">
      <c r="D321" s="15" t="s">
        <v>392</v>
      </c>
      <c r="F321" s="20">
        <v>1</v>
      </c>
    </row>
    <row r="322" spans="4:6" ht="12.75">
      <c r="D322" s="15" t="s">
        <v>393</v>
      </c>
      <c r="F322" s="20">
        <v>1</v>
      </c>
    </row>
    <row r="323" spans="4:6" ht="12.75">
      <c r="D323" s="15" t="s">
        <v>546</v>
      </c>
      <c r="F323" s="20">
        <v>1</v>
      </c>
    </row>
    <row r="324" spans="4:6" ht="12.75">
      <c r="D324" s="15" t="s">
        <v>395</v>
      </c>
      <c r="F324" s="20">
        <v>1</v>
      </c>
    </row>
    <row r="325" spans="4:6" ht="12.75">
      <c r="D325" s="15" t="s">
        <v>396</v>
      </c>
      <c r="F325" s="20">
        <v>1</v>
      </c>
    </row>
    <row r="326" spans="4:6" ht="12.75">
      <c r="D326" s="15" t="s">
        <v>397</v>
      </c>
      <c r="F326" s="20">
        <v>1</v>
      </c>
    </row>
    <row r="327" spans="4:6" ht="12.75">
      <c r="D327" s="15" t="s">
        <v>398</v>
      </c>
      <c r="F327" s="20">
        <v>1</v>
      </c>
    </row>
    <row r="328" spans="4:6" ht="12.75">
      <c r="D328" s="15" t="s">
        <v>399</v>
      </c>
      <c r="F328" s="20">
        <v>1</v>
      </c>
    </row>
    <row r="329" spans="1:43" ht="12.75">
      <c r="A329" s="4" t="s">
        <v>99</v>
      </c>
      <c r="B329" s="4"/>
      <c r="C329" s="4" t="s">
        <v>237</v>
      </c>
      <c r="D329" s="4" t="s">
        <v>547</v>
      </c>
      <c r="E329" s="4" t="s">
        <v>805</v>
      </c>
      <c r="F329" s="19">
        <v>9</v>
      </c>
      <c r="G329" s="19">
        <v>0</v>
      </c>
      <c r="H329" s="19">
        <f>F329*AE329</f>
        <v>0</v>
      </c>
      <c r="I329" s="19">
        <f>J329-H329</f>
        <v>0</v>
      </c>
      <c r="J329" s="19">
        <f>F329*G329</f>
        <v>0</v>
      </c>
      <c r="K329" s="19">
        <v>0.001</v>
      </c>
      <c r="L329" s="19">
        <f>F329*K329</f>
        <v>0.009000000000000001</v>
      </c>
      <c r="M329" s="32" t="s">
        <v>829</v>
      </c>
      <c r="N329" s="32" t="s">
        <v>7</v>
      </c>
      <c r="O329" s="19">
        <f>IF(N329="5",I329,0)</f>
        <v>0</v>
      </c>
      <c r="Z329" s="19">
        <f>IF(AD329=0,J329,0)</f>
        <v>0</v>
      </c>
      <c r="AA329" s="19">
        <f>IF(AD329=15,J329,0)</f>
        <v>0</v>
      </c>
      <c r="AB329" s="19">
        <f>IF(AD329=21,J329,0)</f>
        <v>0</v>
      </c>
      <c r="AD329" s="36">
        <v>21</v>
      </c>
      <c r="AE329" s="36">
        <f>G329*0</f>
        <v>0</v>
      </c>
      <c r="AF329" s="36">
        <f>G329*(1-0)</f>
        <v>0</v>
      </c>
      <c r="AM329" s="36">
        <f>F329*AE329</f>
        <v>0</v>
      </c>
      <c r="AN329" s="36">
        <f>F329*AF329</f>
        <v>0</v>
      </c>
      <c r="AO329" s="37" t="s">
        <v>851</v>
      </c>
      <c r="AP329" s="37" t="s">
        <v>866</v>
      </c>
      <c r="AQ329" s="29" t="s">
        <v>870</v>
      </c>
    </row>
    <row r="330" spans="4:6" ht="12.75">
      <c r="D330" s="15" t="s">
        <v>548</v>
      </c>
      <c r="F330" s="20">
        <v>9</v>
      </c>
    </row>
    <row r="331" spans="1:37" ht="12.75">
      <c r="A331" s="5"/>
      <c r="B331" s="13"/>
      <c r="C331" s="13" t="s">
        <v>238</v>
      </c>
      <c r="D331" s="67" t="s">
        <v>549</v>
      </c>
      <c r="E331" s="68"/>
      <c r="F331" s="68"/>
      <c r="G331" s="68"/>
      <c r="H331" s="39">
        <f>SUM(H332:H345)</f>
        <v>0</v>
      </c>
      <c r="I331" s="39">
        <f>SUM(I332:I345)</f>
        <v>0</v>
      </c>
      <c r="J331" s="39">
        <f>H331+I331</f>
        <v>0</v>
      </c>
      <c r="K331" s="29"/>
      <c r="L331" s="39">
        <f>SUM(L332:L345)</f>
        <v>1.4703048000000003</v>
      </c>
      <c r="M331" s="29"/>
      <c r="P331" s="39">
        <f>IF(Q331="PR",J331,SUM(O332:O345))</f>
        <v>0</v>
      </c>
      <c r="Q331" s="29" t="s">
        <v>835</v>
      </c>
      <c r="R331" s="39">
        <f>IF(Q331="HS",H331,0)</f>
        <v>0</v>
      </c>
      <c r="S331" s="39">
        <f>IF(Q331="HS",I331-P331,0)</f>
        <v>0</v>
      </c>
      <c r="T331" s="39">
        <f>IF(Q331="PS",H331,0)</f>
        <v>0</v>
      </c>
      <c r="U331" s="39">
        <f>IF(Q331="PS",I331-P331,0)</f>
        <v>0</v>
      </c>
      <c r="V331" s="39">
        <f>IF(Q331="MP",H331,0)</f>
        <v>0</v>
      </c>
      <c r="W331" s="39">
        <f>IF(Q331="MP",I331-P331,0)</f>
        <v>0</v>
      </c>
      <c r="X331" s="39">
        <f>IF(Q331="OM",H331,0)</f>
        <v>0</v>
      </c>
      <c r="Y331" s="29"/>
      <c r="AI331" s="39">
        <f>SUM(Z332:Z345)</f>
        <v>0</v>
      </c>
      <c r="AJ331" s="39">
        <f>SUM(AA332:AA345)</f>
        <v>0</v>
      </c>
      <c r="AK331" s="39">
        <f>SUM(AB332:AB345)</f>
        <v>0</v>
      </c>
    </row>
    <row r="332" spans="1:43" ht="12.75">
      <c r="A332" s="4" t="s">
        <v>100</v>
      </c>
      <c r="B332" s="4"/>
      <c r="C332" s="4" t="s">
        <v>239</v>
      </c>
      <c r="D332" s="4" t="s">
        <v>550</v>
      </c>
      <c r="E332" s="4" t="s">
        <v>806</v>
      </c>
      <c r="F332" s="19">
        <v>44.52</v>
      </c>
      <c r="G332" s="19">
        <v>0</v>
      </c>
      <c r="H332" s="19">
        <f>F332*AE332</f>
        <v>0</v>
      </c>
      <c r="I332" s="19">
        <f>J332-H332</f>
        <v>0</v>
      </c>
      <c r="J332" s="19">
        <f>F332*G332</f>
        <v>0</v>
      </c>
      <c r="K332" s="19">
        <v>0.00514</v>
      </c>
      <c r="L332" s="19">
        <f>F332*K332</f>
        <v>0.2288328</v>
      </c>
      <c r="M332" s="32" t="s">
        <v>829</v>
      </c>
      <c r="N332" s="32" t="s">
        <v>9</v>
      </c>
      <c r="O332" s="19">
        <f>IF(N332="5",I332,0)</f>
        <v>0</v>
      </c>
      <c r="Z332" s="19">
        <f>IF(AD332=0,J332,0)</f>
        <v>0</v>
      </c>
      <c r="AA332" s="19">
        <f>IF(AD332=15,J332,0)</f>
        <v>0</v>
      </c>
      <c r="AB332" s="19">
        <f>IF(AD332=21,J332,0)</f>
        <v>0</v>
      </c>
      <c r="AD332" s="36">
        <v>21</v>
      </c>
      <c r="AE332" s="36">
        <f>G332*0.472986072139176</f>
        <v>0</v>
      </c>
      <c r="AF332" s="36">
        <f>G332*(1-0.472986072139176)</f>
        <v>0</v>
      </c>
      <c r="AM332" s="36">
        <f>F332*AE332</f>
        <v>0</v>
      </c>
      <c r="AN332" s="36">
        <f>F332*AF332</f>
        <v>0</v>
      </c>
      <c r="AO332" s="37" t="s">
        <v>852</v>
      </c>
      <c r="AP332" s="37" t="s">
        <v>867</v>
      </c>
      <c r="AQ332" s="29" t="s">
        <v>870</v>
      </c>
    </row>
    <row r="333" spans="4:6" ht="12.75">
      <c r="D333" s="15" t="s">
        <v>551</v>
      </c>
      <c r="F333" s="20">
        <v>42.4</v>
      </c>
    </row>
    <row r="334" spans="4:6" ht="12.75">
      <c r="D334" s="15" t="s">
        <v>552</v>
      </c>
      <c r="F334" s="20">
        <v>2.12</v>
      </c>
    </row>
    <row r="335" spans="1:43" ht="12.75">
      <c r="A335" s="4" t="s">
        <v>101</v>
      </c>
      <c r="B335" s="4"/>
      <c r="C335" s="4" t="s">
        <v>240</v>
      </c>
      <c r="D335" s="4" t="s">
        <v>553</v>
      </c>
      <c r="E335" s="4" t="s">
        <v>806</v>
      </c>
      <c r="F335" s="19">
        <v>42.4</v>
      </c>
      <c r="G335" s="19">
        <v>0</v>
      </c>
      <c r="H335" s="19">
        <f>F335*AE335</f>
        <v>0</v>
      </c>
      <c r="I335" s="19">
        <f>J335-H335</f>
        <v>0</v>
      </c>
      <c r="J335" s="19">
        <f>F335*G335</f>
        <v>0</v>
      </c>
      <c r="K335" s="19">
        <v>0</v>
      </c>
      <c r="L335" s="19">
        <f>F335*K335</f>
        <v>0</v>
      </c>
      <c r="M335" s="32" t="s">
        <v>829</v>
      </c>
      <c r="N335" s="32" t="s">
        <v>7</v>
      </c>
      <c r="O335" s="19">
        <f>IF(N335="5",I335,0)</f>
        <v>0</v>
      </c>
      <c r="Z335" s="19">
        <f>IF(AD335=0,J335,0)</f>
        <v>0</v>
      </c>
      <c r="AA335" s="19">
        <f>IF(AD335=15,J335,0)</f>
        <v>0</v>
      </c>
      <c r="AB335" s="19">
        <f>IF(AD335=21,J335,0)</f>
        <v>0</v>
      </c>
      <c r="AD335" s="36">
        <v>21</v>
      </c>
      <c r="AE335" s="36">
        <f>G335*0</f>
        <v>0</v>
      </c>
      <c r="AF335" s="36">
        <f>G335*(1-0)</f>
        <v>0</v>
      </c>
      <c r="AM335" s="36">
        <f>F335*AE335</f>
        <v>0</v>
      </c>
      <c r="AN335" s="36">
        <f>F335*AF335</f>
        <v>0</v>
      </c>
      <c r="AO335" s="37" t="s">
        <v>852</v>
      </c>
      <c r="AP335" s="37" t="s">
        <v>867</v>
      </c>
      <c r="AQ335" s="29" t="s">
        <v>870</v>
      </c>
    </row>
    <row r="336" spans="4:6" ht="12.75">
      <c r="D336" s="15" t="s">
        <v>554</v>
      </c>
      <c r="F336" s="20">
        <v>42.4</v>
      </c>
    </row>
    <row r="337" spans="1:43" ht="12.75">
      <c r="A337" s="6" t="s">
        <v>102</v>
      </c>
      <c r="B337" s="6"/>
      <c r="C337" s="6" t="s">
        <v>241</v>
      </c>
      <c r="D337" s="6" t="s">
        <v>555</v>
      </c>
      <c r="E337" s="6" t="s">
        <v>806</v>
      </c>
      <c r="F337" s="21">
        <v>46.64</v>
      </c>
      <c r="G337" s="21">
        <v>0</v>
      </c>
      <c r="H337" s="21">
        <f>F337*AE337</f>
        <v>0</v>
      </c>
      <c r="I337" s="21">
        <f>J337-H337</f>
        <v>0</v>
      </c>
      <c r="J337" s="21">
        <f>F337*G337</f>
        <v>0</v>
      </c>
      <c r="K337" s="21">
        <v>0</v>
      </c>
      <c r="L337" s="21">
        <f>F337*K337</f>
        <v>0</v>
      </c>
      <c r="M337" s="33"/>
      <c r="N337" s="33" t="s">
        <v>831</v>
      </c>
      <c r="O337" s="21">
        <f>IF(N337="5",I337,0)</f>
        <v>0</v>
      </c>
      <c r="Z337" s="21">
        <f>IF(AD337=0,J337,0)</f>
        <v>0</v>
      </c>
      <c r="AA337" s="21">
        <f>IF(AD337=15,J337,0)</f>
        <v>0</v>
      </c>
      <c r="AB337" s="21">
        <f>IF(AD337=21,J337,0)</f>
        <v>0</v>
      </c>
      <c r="AD337" s="36">
        <v>21</v>
      </c>
      <c r="AE337" s="36">
        <f>G337*1</f>
        <v>0</v>
      </c>
      <c r="AF337" s="36">
        <f>G337*(1-1)</f>
        <v>0</v>
      </c>
      <c r="AM337" s="36">
        <f>F337*AE337</f>
        <v>0</v>
      </c>
      <c r="AN337" s="36">
        <f>F337*AF337</f>
        <v>0</v>
      </c>
      <c r="AO337" s="37" t="s">
        <v>852</v>
      </c>
      <c r="AP337" s="37" t="s">
        <v>867</v>
      </c>
      <c r="AQ337" s="29" t="s">
        <v>870</v>
      </c>
    </row>
    <row r="338" spans="4:6" ht="12.75">
      <c r="D338" s="15" t="s">
        <v>556</v>
      </c>
      <c r="F338" s="20">
        <v>42.4</v>
      </c>
    </row>
    <row r="339" spans="4:6" ht="12.75">
      <c r="D339" s="15" t="s">
        <v>557</v>
      </c>
      <c r="F339" s="20">
        <v>4.24</v>
      </c>
    </row>
    <row r="340" spans="1:43" ht="12.75">
      <c r="A340" s="4" t="s">
        <v>103</v>
      </c>
      <c r="B340" s="4"/>
      <c r="C340" s="4" t="s">
        <v>242</v>
      </c>
      <c r="D340" s="4" t="s">
        <v>558</v>
      </c>
      <c r="E340" s="4" t="s">
        <v>806</v>
      </c>
      <c r="F340" s="19">
        <v>42.4</v>
      </c>
      <c r="G340" s="19">
        <v>0</v>
      </c>
      <c r="H340" s="19">
        <f>F340*AE340</f>
        <v>0</v>
      </c>
      <c r="I340" s="19">
        <f>J340-H340</f>
        <v>0</v>
      </c>
      <c r="J340" s="19">
        <f>F340*G340</f>
        <v>0</v>
      </c>
      <c r="K340" s="19">
        <v>0.00223</v>
      </c>
      <c r="L340" s="19">
        <f>F340*K340</f>
        <v>0.09455200000000001</v>
      </c>
      <c r="M340" s="32" t="s">
        <v>829</v>
      </c>
      <c r="N340" s="32" t="s">
        <v>7</v>
      </c>
      <c r="O340" s="19">
        <f>IF(N340="5",I340,0)</f>
        <v>0</v>
      </c>
      <c r="Z340" s="19">
        <f>IF(AD340=0,J340,0)</f>
        <v>0</v>
      </c>
      <c r="AA340" s="19">
        <f>IF(AD340=15,J340,0)</f>
        <v>0</v>
      </c>
      <c r="AB340" s="19">
        <f>IF(AD340=21,J340,0)</f>
        <v>0</v>
      </c>
      <c r="AD340" s="36">
        <v>21</v>
      </c>
      <c r="AE340" s="36">
        <f>G340*0.1739</f>
        <v>0</v>
      </c>
      <c r="AF340" s="36">
        <f>G340*(1-0.1739)</f>
        <v>0</v>
      </c>
      <c r="AM340" s="36">
        <f>F340*AE340</f>
        <v>0</v>
      </c>
      <c r="AN340" s="36">
        <f>F340*AF340</f>
        <v>0</v>
      </c>
      <c r="AO340" s="37" t="s">
        <v>852</v>
      </c>
      <c r="AP340" s="37" t="s">
        <v>867</v>
      </c>
      <c r="AQ340" s="29" t="s">
        <v>870</v>
      </c>
    </row>
    <row r="341" spans="4:6" ht="12.75">
      <c r="D341" s="15" t="s">
        <v>551</v>
      </c>
      <c r="F341" s="20">
        <v>42.4</v>
      </c>
    </row>
    <row r="342" spans="1:43" ht="12.75">
      <c r="A342" s="6" t="s">
        <v>104</v>
      </c>
      <c r="B342" s="6"/>
      <c r="C342" s="6" t="s">
        <v>243</v>
      </c>
      <c r="D342" s="6" t="s">
        <v>559</v>
      </c>
      <c r="E342" s="6" t="s">
        <v>806</v>
      </c>
      <c r="F342" s="21">
        <v>44.52</v>
      </c>
      <c r="G342" s="21">
        <v>0</v>
      </c>
      <c r="H342" s="21">
        <f>F342*AE342</f>
        <v>0</v>
      </c>
      <c r="I342" s="21">
        <f>J342-H342</f>
        <v>0</v>
      </c>
      <c r="J342" s="21">
        <f>F342*G342</f>
        <v>0</v>
      </c>
      <c r="K342" s="21">
        <v>0.025</v>
      </c>
      <c r="L342" s="21">
        <f>F342*K342</f>
        <v>1.1130000000000002</v>
      </c>
      <c r="M342" s="33"/>
      <c r="N342" s="33" t="s">
        <v>831</v>
      </c>
      <c r="O342" s="21">
        <f>IF(N342="5",I342,0)</f>
        <v>0</v>
      </c>
      <c r="Z342" s="21">
        <f>IF(AD342=0,J342,0)</f>
        <v>0</v>
      </c>
      <c r="AA342" s="21">
        <f>IF(AD342=15,J342,0)</f>
        <v>0</v>
      </c>
      <c r="AB342" s="21">
        <f>IF(AD342=21,J342,0)</f>
        <v>0</v>
      </c>
      <c r="AD342" s="36">
        <v>21</v>
      </c>
      <c r="AE342" s="36">
        <f>G342*1</f>
        <v>0</v>
      </c>
      <c r="AF342" s="36">
        <f>G342*(1-1)</f>
        <v>0</v>
      </c>
      <c r="AM342" s="36">
        <f>F342*AE342</f>
        <v>0</v>
      </c>
      <c r="AN342" s="36">
        <f>F342*AF342</f>
        <v>0</v>
      </c>
      <c r="AO342" s="37" t="s">
        <v>852</v>
      </c>
      <c r="AP342" s="37" t="s">
        <v>867</v>
      </c>
      <c r="AQ342" s="29" t="s">
        <v>870</v>
      </c>
    </row>
    <row r="343" spans="4:6" ht="12.75">
      <c r="D343" s="15" t="s">
        <v>560</v>
      </c>
      <c r="F343" s="20">
        <v>42.4</v>
      </c>
    </row>
    <row r="344" spans="4:6" ht="12.75">
      <c r="D344" s="15" t="s">
        <v>561</v>
      </c>
      <c r="F344" s="20">
        <v>2.12</v>
      </c>
    </row>
    <row r="345" spans="1:43" ht="12.75">
      <c r="A345" s="4" t="s">
        <v>105</v>
      </c>
      <c r="B345" s="4"/>
      <c r="C345" s="4" t="s">
        <v>244</v>
      </c>
      <c r="D345" s="4" t="s">
        <v>562</v>
      </c>
      <c r="E345" s="4" t="s">
        <v>806</v>
      </c>
      <c r="F345" s="19">
        <v>42.4</v>
      </c>
      <c r="G345" s="19">
        <v>0</v>
      </c>
      <c r="H345" s="19">
        <f>F345*AE345</f>
        <v>0</v>
      </c>
      <c r="I345" s="19">
        <f>J345-H345</f>
        <v>0</v>
      </c>
      <c r="J345" s="19">
        <f>F345*G345</f>
        <v>0</v>
      </c>
      <c r="K345" s="19">
        <v>0.0008</v>
      </c>
      <c r="L345" s="19">
        <f>F345*K345</f>
        <v>0.03392</v>
      </c>
      <c r="M345" s="32" t="s">
        <v>829</v>
      </c>
      <c r="N345" s="32" t="s">
        <v>7</v>
      </c>
      <c r="O345" s="19">
        <f>IF(N345="5",I345,0)</f>
        <v>0</v>
      </c>
      <c r="Z345" s="19">
        <f>IF(AD345=0,J345,0)</f>
        <v>0</v>
      </c>
      <c r="AA345" s="19">
        <f>IF(AD345=15,J345,0)</f>
        <v>0</v>
      </c>
      <c r="AB345" s="19">
        <f>IF(AD345=21,J345,0)</f>
        <v>0</v>
      </c>
      <c r="AD345" s="36">
        <v>21</v>
      </c>
      <c r="AE345" s="36">
        <f>G345*1</f>
        <v>0</v>
      </c>
      <c r="AF345" s="36">
        <f>G345*(1-1)</f>
        <v>0</v>
      </c>
      <c r="AM345" s="36">
        <f>F345*AE345</f>
        <v>0</v>
      </c>
      <c r="AN345" s="36">
        <f>F345*AF345</f>
        <v>0</v>
      </c>
      <c r="AO345" s="37" t="s">
        <v>852</v>
      </c>
      <c r="AP345" s="37" t="s">
        <v>867</v>
      </c>
      <c r="AQ345" s="29" t="s">
        <v>870</v>
      </c>
    </row>
    <row r="346" spans="4:6" ht="12.75">
      <c r="D346" s="15" t="s">
        <v>560</v>
      </c>
      <c r="F346" s="20">
        <v>42.4</v>
      </c>
    </row>
    <row r="347" spans="1:37" ht="12.75">
      <c r="A347" s="5"/>
      <c r="B347" s="13"/>
      <c r="C347" s="13" t="s">
        <v>245</v>
      </c>
      <c r="D347" s="67" t="s">
        <v>563</v>
      </c>
      <c r="E347" s="68"/>
      <c r="F347" s="68"/>
      <c r="G347" s="68"/>
      <c r="H347" s="39">
        <f>SUM(H348:H431)</f>
        <v>0</v>
      </c>
      <c r="I347" s="39">
        <f>SUM(I348:I431)</f>
        <v>0</v>
      </c>
      <c r="J347" s="39">
        <f>H347+I347</f>
        <v>0</v>
      </c>
      <c r="K347" s="29"/>
      <c r="L347" s="39">
        <f>SUM(L348:L431)</f>
        <v>2.730022935</v>
      </c>
      <c r="M347" s="29"/>
      <c r="P347" s="39">
        <f>IF(Q347="PR",J347,SUM(O348:O431))</f>
        <v>0</v>
      </c>
      <c r="Q347" s="29" t="s">
        <v>835</v>
      </c>
      <c r="R347" s="39">
        <f>IF(Q347="HS",H347,0)</f>
        <v>0</v>
      </c>
      <c r="S347" s="39">
        <f>IF(Q347="HS",I347-P347,0)</f>
        <v>0</v>
      </c>
      <c r="T347" s="39">
        <f>IF(Q347="PS",H347,0)</f>
        <v>0</v>
      </c>
      <c r="U347" s="39">
        <f>IF(Q347="PS",I347-P347,0)</f>
        <v>0</v>
      </c>
      <c r="V347" s="39">
        <f>IF(Q347="MP",H347,0)</f>
        <v>0</v>
      </c>
      <c r="W347" s="39">
        <f>IF(Q347="MP",I347-P347,0)</f>
        <v>0</v>
      </c>
      <c r="X347" s="39">
        <f>IF(Q347="OM",H347,0)</f>
        <v>0</v>
      </c>
      <c r="Y347" s="29"/>
      <c r="AI347" s="39">
        <f>SUM(Z348:Z431)</f>
        <v>0</v>
      </c>
      <c r="AJ347" s="39">
        <f>SUM(AA348:AA431)</f>
        <v>0</v>
      </c>
      <c r="AK347" s="39">
        <f>SUM(AB348:AB431)</f>
        <v>0</v>
      </c>
    </row>
    <row r="348" spans="1:43" ht="12.75">
      <c r="A348" s="4" t="s">
        <v>106</v>
      </c>
      <c r="B348" s="4"/>
      <c r="C348" s="4" t="s">
        <v>246</v>
      </c>
      <c r="D348" s="4" t="s">
        <v>564</v>
      </c>
      <c r="E348" s="4" t="s">
        <v>806</v>
      </c>
      <c r="F348" s="19">
        <v>124.3</v>
      </c>
      <c r="G348" s="19">
        <v>0</v>
      </c>
      <c r="H348" s="19">
        <f>F348*AE348</f>
        <v>0</v>
      </c>
      <c r="I348" s="19">
        <f>J348-H348</f>
        <v>0</v>
      </c>
      <c r="J348" s="19">
        <f>F348*G348</f>
        <v>0</v>
      </c>
      <c r="K348" s="19">
        <v>0.001</v>
      </c>
      <c r="L348" s="19">
        <f>F348*K348</f>
        <v>0.1243</v>
      </c>
      <c r="M348" s="32" t="s">
        <v>829</v>
      </c>
      <c r="N348" s="32" t="s">
        <v>7</v>
      </c>
      <c r="O348" s="19">
        <f>IF(N348="5",I348,0)</f>
        <v>0</v>
      </c>
      <c r="Z348" s="19">
        <f>IF(AD348=0,J348,0)</f>
        <v>0</v>
      </c>
      <c r="AA348" s="19">
        <f>IF(AD348=15,J348,0)</f>
        <v>0</v>
      </c>
      <c r="AB348" s="19">
        <f>IF(AD348=21,J348,0)</f>
        <v>0</v>
      </c>
      <c r="AD348" s="36">
        <v>21</v>
      </c>
      <c r="AE348" s="36">
        <f>G348*0</f>
        <v>0</v>
      </c>
      <c r="AF348" s="36">
        <f>G348*(1-0)</f>
        <v>0</v>
      </c>
      <c r="AM348" s="36">
        <f>F348*AE348</f>
        <v>0</v>
      </c>
      <c r="AN348" s="36">
        <f>F348*AF348</f>
        <v>0</v>
      </c>
      <c r="AO348" s="37" t="s">
        <v>853</v>
      </c>
      <c r="AP348" s="37" t="s">
        <v>867</v>
      </c>
      <c r="AQ348" s="29" t="s">
        <v>870</v>
      </c>
    </row>
    <row r="349" spans="4:6" ht="12.75">
      <c r="D349" s="15" t="s">
        <v>565</v>
      </c>
      <c r="F349" s="20">
        <v>44.3</v>
      </c>
    </row>
    <row r="350" spans="4:6" ht="12.75">
      <c r="D350" s="15" t="s">
        <v>566</v>
      </c>
      <c r="F350" s="20">
        <v>80</v>
      </c>
    </row>
    <row r="351" spans="1:43" ht="12.75">
      <c r="A351" s="4" t="s">
        <v>107</v>
      </c>
      <c r="B351" s="4"/>
      <c r="C351" s="4" t="s">
        <v>247</v>
      </c>
      <c r="D351" s="4" t="s">
        <v>567</v>
      </c>
      <c r="E351" s="4" t="s">
        <v>806</v>
      </c>
      <c r="F351" s="19">
        <v>281.7</v>
      </c>
      <c r="G351" s="19">
        <v>0</v>
      </c>
      <c r="H351" s="19">
        <f>F351*AE351</f>
        <v>0</v>
      </c>
      <c r="I351" s="19">
        <f>J351-H351</f>
        <v>0</v>
      </c>
      <c r="J351" s="19">
        <f>F351*G351</f>
        <v>0</v>
      </c>
      <c r="K351" s="19">
        <v>0.001</v>
      </c>
      <c r="L351" s="19">
        <f>F351*K351</f>
        <v>0.2817</v>
      </c>
      <c r="M351" s="32" t="s">
        <v>829</v>
      </c>
      <c r="N351" s="32" t="s">
        <v>7</v>
      </c>
      <c r="O351" s="19">
        <f>IF(N351="5",I351,0)</f>
        <v>0</v>
      </c>
      <c r="Z351" s="19">
        <f>IF(AD351=0,J351,0)</f>
        <v>0</v>
      </c>
      <c r="AA351" s="19">
        <f>IF(AD351=15,J351,0)</f>
        <v>0</v>
      </c>
      <c r="AB351" s="19">
        <f>IF(AD351=21,J351,0)</f>
        <v>0</v>
      </c>
      <c r="AD351" s="36">
        <v>21</v>
      </c>
      <c r="AE351" s="36">
        <f>G351*0</f>
        <v>0</v>
      </c>
      <c r="AF351" s="36">
        <f>G351*(1-0)</f>
        <v>0</v>
      </c>
      <c r="AM351" s="36">
        <f>F351*AE351</f>
        <v>0</v>
      </c>
      <c r="AN351" s="36">
        <f>F351*AF351</f>
        <v>0</v>
      </c>
      <c r="AO351" s="37" t="s">
        <v>853</v>
      </c>
      <c r="AP351" s="37" t="s">
        <v>867</v>
      </c>
      <c r="AQ351" s="29" t="s">
        <v>870</v>
      </c>
    </row>
    <row r="352" spans="4:6" ht="12.75">
      <c r="D352" s="15" t="s">
        <v>568</v>
      </c>
      <c r="F352" s="20">
        <v>19.5</v>
      </c>
    </row>
    <row r="353" spans="4:6" ht="12.75">
      <c r="D353" s="15" t="s">
        <v>569</v>
      </c>
      <c r="F353" s="20">
        <v>18.3</v>
      </c>
    </row>
    <row r="354" spans="4:6" ht="12.75">
      <c r="D354" s="15" t="s">
        <v>570</v>
      </c>
      <c r="F354" s="20">
        <v>18.3</v>
      </c>
    </row>
    <row r="355" spans="4:6" ht="12.75">
      <c r="D355" s="15" t="s">
        <v>571</v>
      </c>
      <c r="F355" s="20">
        <v>19.5</v>
      </c>
    </row>
    <row r="356" spans="4:6" ht="12.75">
      <c r="D356" s="15" t="s">
        <v>572</v>
      </c>
      <c r="F356" s="20">
        <v>19.5</v>
      </c>
    </row>
    <row r="357" spans="4:6" ht="12.75">
      <c r="D357" s="15" t="s">
        <v>573</v>
      </c>
      <c r="F357" s="20">
        <v>18.3</v>
      </c>
    </row>
    <row r="358" spans="4:6" ht="12.75">
      <c r="D358" s="15" t="s">
        <v>574</v>
      </c>
      <c r="F358" s="20">
        <v>19.5</v>
      </c>
    </row>
    <row r="359" spans="4:6" ht="12.75">
      <c r="D359" s="15" t="s">
        <v>575</v>
      </c>
      <c r="F359" s="20">
        <v>18.3</v>
      </c>
    </row>
    <row r="360" spans="4:6" ht="12.75">
      <c r="D360" s="15" t="s">
        <v>576</v>
      </c>
      <c r="F360" s="20">
        <v>19.5</v>
      </c>
    </row>
    <row r="361" spans="4:6" ht="12.75">
      <c r="D361" s="15" t="s">
        <v>577</v>
      </c>
      <c r="F361" s="20">
        <v>13.6</v>
      </c>
    </row>
    <row r="362" spans="4:6" ht="12.75">
      <c r="D362" s="15" t="s">
        <v>578</v>
      </c>
      <c r="F362" s="20">
        <v>18.3</v>
      </c>
    </row>
    <row r="363" spans="4:6" ht="12.75">
      <c r="D363" s="15" t="s">
        <v>579</v>
      </c>
      <c r="F363" s="20">
        <v>18.3</v>
      </c>
    </row>
    <row r="364" spans="4:6" ht="12.75">
      <c r="D364" s="15" t="s">
        <v>580</v>
      </c>
      <c r="F364" s="20">
        <v>19.5</v>
      </c>
    </row>
    <row r="365" spans="4:6" ht="12.75">
      <c r="D365" s="15" t="s">
        <v>581</v>
      </c>
      <c r="F365" s="20">
        <v>16.8</v>
      </c>
    </row>
    <row r="366" spans="4:6" ht="12.75">
      <c r="D366" s="15" t="s">
        <v>582</v>
      </c>
      <c r="F366" s="20">
        <v>12.4</v>
      </c>
    </row>
    <row r="367" spans="4:6" ht="12.75">
      <c r="D367" s="15" t="s">
        <v>583</v>
      </c>
      <c r="F367" s="20">
        <v>12.1</v>
      </c>
    </row>
    <row r="368" spans="1:43" ht="12.75">
      <c r="A368" s="4" t="s">
        <v>108</v>
      </c>
      <c r="B368" s="4"/>
      <c r="C368" s="4" t="s">
        <v>248</v>
      </c>
      <c r="D368" s="4" t="s">
        <v>584</v>
      </c>
      <c r="E368" s="4" t="s">
        <v>806</v>
      </c>
      <c r="F368" s="19">
        <v>85.235</v>
      </c>
      <c r="G368" s="19">
        <v>0</v>
      </c>
      <c r="H368" s="19">
        <f>F368*AE368</f>
        <v>0</v>
      </c>
      <c r="I368" s="19">
        <f>J368-H368</f>
        <v>0</v>
      </c>
      <c r="J368" s="19">
        <f>F368*G368</f>
        <v>0</v>
      </c>
      <c r="K368" s="19">
        <v>0.001</v>
      </c>
      <c r="L368" s="19">
        <f>F368*K368</f>
        <v>0.085235</v>
      </c>
      <c r="M368" s="32" t="s">
        <v>829</v>
      </c>
      <c r="N368" s="32" t="s">
        <v>7</v>
      </c>
      <c r="O368" s="19">
        <f>IF(N368="5",I368,0)</f>
        <v>0</v>
      </c>
      <c r="Z368" s="19">
        <f>IF(AD368=0,J368,0)</f>
        <v>0</v>
      </c>
      <c r="AA368" s="19">
        <f>IF(AD368=15,J368,0)</f>
        <v>0</v>
      </c>
      <c r="AB368" s="19">
        <f>IF(AD368=21,J368,0)</f>
        <v>0</v>
      </c>
      <c r="AD368" s="36">
        <v>21</v>
      </c>
      <c r="AE368" s="36">
        <f>G368*0</f>
        <v>0</v>
      </c>
      <c r="AF368" s="36">
        <f>G368*(1-0)</f>
        <v>0</v>
      </c>
      <c r="AM368" s="36">
        <f>F368*AE368</f>
        <v>0</v>
      </c>
      <c r="AN368" s="36">
        <f>F368*AF368</f>
        <v>0</v>
      </c>
      <c r="AO368" s="37" t="s">
        <v>853</v>
      </c>
      <c r="AP368" s="37" t="s">
        <v>867</v>
      </c>
      <c r="AQ368" s="29" t="s">
        <v>870</v>
      </c>
    </row>
    <row r="369" spans="4:6" ht="12.75">
      <c r="D369" s="15" t="s">
        <v>585</v>
      </c>
      <c r="F369" s="20">
        <v>8.15</v>
      </c>
    </row>
    <row r="370" spans="4:6" ht="12.75">
      <c r="D370" s="15" t="s">
        <v>586</v>
      </c>
      <c r="F370" s="20">
        <v>10</v>
      </c>
    </row>
    <row r="371" spans="4:6" ht="12.75">
      <c r="D371" s="15" t="s">
        <v>587</v>
      </c>
      <c r="F371" s="20">
        <v>4.5</v>
      </c>
    </row>
    <row r="372" spans="4:6" ht="12.75">
      <c r="D372" s="15" t="s">
        <v>588</v>
      </c>
      <c r="F372" s="20">
        <v>9.6</v>
      </c>
    </row>
    <row r="373" spans="4:6" ht="12.75">
      <c r="D373" s="15" t="s">
        <v>589</v>
      </c>
      <c r="F373" s="20">
        <v>9.6</v>
      </c>
    </row>
    <row r="374" spans="4:6" ht="12.75">
      <c r="D374" s="15" t="s">
        <v>590</v>
      </c>
      <c r="F374" s="20">
        <v>9.6</v>
      </c>
    </row>
    <row r="375" spans="4:6" ht="12.75">
      <c r="D375" s="15" t="s">
        <v>591</v>
      </c>
      <c r="F375" s="20">
        <v>9.6</v>
      </c>
    </row>
    <row r="376" spans="4:6" ht="12.75">
      <c r="D376" s="15" t="s">
        <v>592</v>
      </c>
      <c r="F376" s="20">
        <v>9.585</v>
      </c>
    </row>
    <row r="377" spans="4:6" ht="12.75">
      <c r="D377" s="15" t="s">
        <v>593</v>
      </c>
      <c r="F377" s="20">
        <v>9.6</v>
      </c>
    </row>
    <row r="378" spans="4:6" ht="12.75">
      <c r="D378" s="15" t="s">
        <v>594</v>
      </c>
      <c r="F378" s="20">
        <v>5</v>
      </c>
    </row>
    <row r="379" spans="1:43" ht="12.75">
      <c r="A379" s="4" t="s">
        <v>109</v>
      </c>
      <c r="B379" s="4"/>
      <c r="C379" s="4" t="s">
        <v>249</v>
      </c>
      <c r="D379" s="4" t="s">
        <v>595</v>
      </c>
      <c r="E379" s="4" t="s">
        <v>807</v>
      </c>
      <c r="F379" s="19">
        <v>455.4</v>
      </c>
      <c r="G379" s="19">
        <v>0</v>
      </c>
      <c r="H379" s="19">
        <f>F379*AE379</f>
        <v>0</v>
      </c>
      <c r="I379" s="19">
        <f>J379-H379</f>
        <v>0</v>
      </c>
      <c r="J379" s="19">
        <f>F379*G379</f>
        <v>0</v>
      </c>
      <c r="K379" s="19">
        <v>0</v>
      </c>
      <c r="L379" s="19">
        <f>F379*K379</f>
        <v>0</v>
      </c>
      <c r="M379" s="32" t="s">
        <v>829</v>
      </c>
      <c r="N379" s="32" t="s">
        <v>7</v>
      </c>
      <c r="O379" s="19">
        <f>IF(N379="5",I379,0)</f>
        <v>0</v>
      </c>
      <c r="Z379" s="19">
        <f>IF(AD379=0,J379,0)</f>
        <v>0</v>
      </c>
      <c r="AA379" s="19">
        <f>IF(AD379=15,J379,0)</f>
        <v>0</v>
      </c>
      <c r="AB379" s="19">
        <f>IF(AD379=21,J379,0)</f>
        <v>0</v>
      </c>
      <c r="AD379" s="36">
        <v>21</v>
      </c>
      <c r="AE379" s="36">
        <f>G379*0</f>
        <v>0</v>
      </c>
      <c r="AF379" s="36">
        <f>G379*(1-0)</f>
        <v>0</v>
      </c>
      <c r="AM379" s="36">
        <f>F379*AE379</f>
        <v>0</v>
      </c>
      <c r="AN379" s="36">
        <f>F379*AF379</f>
        <v>0</v>
      </c>
      <c r="AO379" s="37" t="s">
        <v>853</v>
      </c>
      <c r="AP379" s="37" t="s">
        <v>867</v>
      </c>
      <c r="AQ379" s="29" t="s">
        <v>870</v>
      </c>
    </row>
    <row r="380" spans="4:6" ht="12.75">
      <c r="D380" s="15" t="s">
        <v>596</v>
      </c>
      <c r="F380" s="20">
        <v>6.6</v>
      </c>
    </row>
    <row r="381" spans="4:6" ht="12.75">
      <c r="D381" s="15" t="s">
        <v>597</v>
      </c>
      <c r="F381" s="20">
        <v>35.8</v>
      </c>
    </row>
    <row r="382" spans="4:6" ht="12.75">
      <c r="D382" s="15" t="s">
        <v>598</v>
      </c>
      <c r="F382" s="20">
        <v>9.8</v>
      </c>
    </row>
    <row r="383" spans="4:6" ht="12.75">
      <c r="D383" s="15" t="s">
        <v>599</v>
      </c>
      <c r="F383" s="20">
        <v>7.8</v>
      </c>
    </row>
    <row r="384" spans="4:6" ht="12.75">
      <c r="D384" s="15" t="s">
        <v>600</v>
      </c>
      <c r="F384" s="20">
        <v>19.8</v>
      </c>
    </row>
    <row r="385" spans="4:6" ht="12.75">
      <c r="D385" s="15" t="s">
        <v>601</v>
      </c>
      <c r="F385" s="20">
        <v>18.7</v>
      </c>
    </row>
    <row r="386" spans="4:6" ht="12.75">
      <c r="D386" s="15" t="s">
        <v>602</v>
      </c>
      <c r="F386" s="20">
        <v>9.5</v>
      </c>
    </row>
    <row r="387" spans="4:6" ht="12.75">
      <c r="D387" s="15" t="s">
        <v>603</v>
      </c>
      <c r="F387" s="20">
        <v>18.7</v>
      </c>
    </row>
    <row r="388" spans="4:6" ht="12.75">
      <c r="D388" s="15" t="s">
        <v>604</v>
      </c>
      <c r="F388" s="20">
        <v>19.8</v>
      </c>
    </row>
    <row r="389" spans="4:6" ht="12.75">
      <c r="D389" s="15" t="s">
        <v>605</v>
      </c>
      <c r="F389" s="20">
        <v>9.5</v>
      </c>
    </row>
    <row r="390" spans="4:6" ht="12.75">
      <c r="D390" s="15" t="s">
        <v>606</v>
      </c>
      <c r="F390" s="20">
        <v>48</v>
      </c>
    </row>
    <row r="391" spans="4:6" ht="12.75">
      <c r="D391" s="15" t="s">
        <v>607</v>
      </c>
      <c r="F391" s="20">
        <v>48</v>
      </c>
    </row>
    <row r="392" spans="4:6" ht="12.75">
      <c r="D392" s="15" t="s">
        <v>608</v>
      </c>
      <c r="F392" s="20">
        <v>48</v>
      </c>
    </row>
    <row r="393" spans="4:6" ht="12.75">
      <c r="D393" s="15" t="s">
        <v>609</v>
      </c>
      <c r="F393" s="20">
        <v>48</v>
      </c>
    </row>
    <row r="394" spans="4:6" ht="12.75">
      <c r="D394" s="15" t="s">
        <v>610</v>
      </c>
      <c r="F394" s="20">
        <v>37.7</v>
      </c>
    </row>
    <row r="395" spans="4:6" ht="12.75">
      <c r="D395" s="15" t="s">
        <v>611</v>
      </c>
      <c r="F395" s="20">
        <v>18.2</v>
      </c>
    </row>
    <row r="396" spans="4:6" ht="12.75">
      <c r="D396" s="15" t="s">
        <v>612</v>
      </c>
      <c r="F396" s="20">
        <v>7.6</v>
      </c>
    </row>
    <row r="397" spans="4:6" ht="12.75">
      <c r="D397" s="15" t="s">
        <v>613</v>
      </c>
      <c r="F397" s="20">
        <v>13.3</v>
      </c>
    </row>
    <row r="398" spans="4:6" ht="12.75">
      <c r="D398" s="15" t="s">
        <v>614</v>
      </c>
      <c r="F398" s="20">
        <v>14.2</v>
      </c>
    </row>
    <row r="399" spans="4:6" ht="12.75">
      <c r="D399" s="15" t="s">
        <v>615</v>
      </c>
      <c r="F399" s="20">
        <v>16.4</v>
      </c>
    </row>
    <row r="400" spans="1:43" ht="12.75">
      <c r="A400" s="4" t="s">
        <v>110</v>
      </c>
      <c r="B400" s="4"/>
      <c r="C400" s="4" t="s">
        <v>250</v>
      </c>
      <c r="D400" s="4" t="s">
        <v>616</v>
      </c>
      <c r="E400" s="4" t="s">
        <v>806</v>
      </c>
      <c r="F400" s="19">
        <v>491.235</v>
      </c>
      <c r="G400" s="19">
        <v>0</v>
      </c>
      <c r="H400" s="19">
        <f>F400*AE400</f>
        <v>0</v>
      </c>
      <c r="I400" s="19">
        <f>J400-H400</f>
        <v>0</v>
      </c>
      <c r="J400" s="19">
        <f>F400*G400</f>
        <v>0</v>
      </c>
      <c r="K400" s="19">
        <v>0</v>
      </c>
      <c r="L400" s="19">
        <f>F400*K400</f>
        <v>0</v>
      </c>
      <c r="M400" s="32" t="s">
        <v>829</v>
      </c>
      <c r="N400" s="32" t="s">
        <v>7</v>
      </c>
      <c r="O400" s="19">
        <f>IF(N400="5",I400,0)</f>
        <v>0</v>
      </c>
      <c r="Z400" s="19">
        <f>IF(AD400=0,J400,0)</f>
        <v>0</v>
      </c>
      <c r="AA400" s="19">
        <f>IF(AD400=15,J400,0)</f>
        <v>0</v>
      </c>
      <c r="AB400" s="19">
        <f>IF(AD400=21,J400,0)</f>
        <v>0</v>
      </c>
      <c r="AD400" s="36">
        <v>21</v>
      </c>
      <c r="AE400" s="36">
        <f>G400*0.657894736842105</f>
        <v>0</v>
      </c>
      <c r="AF400" s="36">
        <f>G400*(1-0.657894736842105)</f>
        <v>0</v>
      </c>
      <c r="AM400" s="36">
        <f>F400*AE400</f>
        <v>0</v>
      </c>
      <c r="AN400" s="36">
        <f>F400*AF400</f>
        <v>0</v>
      </c>
      <c r="AO400" s="37" t="s">
        <v>853</v>
      </c>
      <c r="AP400" s="37" t="s">
        <v>867</v>
      </c>
      <c r="AQ400" s="29" t="s">
        <v>870</v>
      </c>
    </row>
    <row r="401" spans="4:6" ht="12.75">
      <c r="D401" s="15" t="s">
        <v>617</v>
      </c>
      <c r="F401" s="20">
        <v>491.235</v>
      </c>
    </row>
    <row r="402" spans="1:43" ht="12.75">
      <c r="A402" s="4" t="s">
        <v>111</v>
      </c>
      <c r="B402" s="4"/>
      <c r="C402" s="4" t="s">
        <v>251</v>
      </c>
      <c r="D402" s="4" t="s">
        <v>618</v>
      </c>
      <c r="E402" s="4" t="s">
        <v>806</v>
      </c>
      <c r="F402" s="19">
        <v>491.235</v>
      </c>
      <c r="G402" s="19">
        <v>0</v>
      </c>
      <c r="H402" s="19">
        <f>F402*AE402</f>
        <v>0</v>
      </c>
      <c r="I402" s="19">
        <f>J402-H402</f>
        <v>0</v>
      </c>
      <c r="J402" s="19">
        <f>F402*G402</f>
        <v>0</v>
      </c>
      <c r="K402" s="19">
        <v>0</v>
      </c>
      <c r="L402" s="19">
        <f>F402*K402</f>
        <v>0</v>
      </c>
      <c r="M402" s="32" t="s">
        <v>829</v>
      </c>
      <c r="N402" s="32" t="s">
        <v>7</v>
      </c>
      <c r="O402" s="19">
        <f>IF(N402="5",I402,0)</f>
        <v>0</v>
      </c>
      <c r="Z402" s="19">
        <f>IF(AD402=0,J402,0)</f>
        <v>0</v>
      </c>
      <c r="AA402" s="19">
        <f>IF(AD402=15,J402,0)</f>
        <v>0</v>
      </c>
      <c r="AB402" s="19">
        <f>IF(AD402=21,J402,0)</f>
        <v>0</v>
      </c>
      <c r="AD402" s="36">
        <v>21</v>
      </c>
      <c r="AE402" s="36">
        <f>G402*0</f>
        <v>0</v>
      </c>
      <c r="AF402" s="36">
        <f>G402*(1-0)</f>
        <v>0</v>
      </c>
      <c r="AM402" s="36">
        <f>F402*AE402</f>
        <v>0</v>
      </c>
      <c r="AN402" s="36">
        <f>F402*AF402</f>
        <v>0</v>
      </c>
      <c r="AO402" s="37" t="s">
        <v>853</v>
      </c>
      <c r="AP402" s="37" t="s">
        <v>867</v>
      </c>
      <c r="AQ402" s="29" t="s">
        <v>870</v>
      </c>
    </row>
    <row r="403" spans="4:6" ht="12.75">
      <c r="D403" s="15" t="s">
        <v>619</v>
      </c>
      <c r="F403" s="20">
        <v>491.235</v>
      </c>
    </row>
    <row r="404" spans="1:43" ht="12.75">
      <c r="A404" s="4" t="s">
        <v>112</v>
      </c>
      <c r="B404" s="4"/>
      <c r="C404" s="4" t="s">
        <v>252</v>
      </c>
      <c r="D404" s="4" t="s">
        <v>620</v>
      </c>
      <c r="E404" s="4" t="s">
        <v>806</v>
      </c>
      <c r="F404" s="19">
        <v>491.235</v>
      </c>
      <c r="G404" s="19">
        <v>0</v>
      </c>
      <c r="H404" s="19">
        <f>F404*AE404</f>
        <v>0</v>
      </c>
      <c r="I404" s="19">
        <f>J404-H404</f>
        <v>0</v>
      </c>
      <c r="J404" s="19">
        <f>F404*G404</f>
        <v>0</v>
      </c>
      <c r="K404" s="19">
        <v>0.0009</v>
      </c>
      <c r="L404" s="19">
        <f>F404*K404</f>
        <v>0.4421115</v>
      </c>
      <c r="M404" s="32" t="s">
        <v>829</v>
      </c>
      <c r="N404" s="32" t="s">
        <v>9</v>
      </c>
      <c r="O404" s="19">
        <f>IF(N404="5",I404,0)</f>
        <v>0</v>
      </c>
      <c r="Z404" s="19">
        <f>IF(AD404=0,J404,0)</f>
        <v>0</v>
      </c>
      <c r="AA404" s="19">
        <f>IF(AD404=15,J404,0)</f>
        <v>0</v>
      </c>
      <c r="AB404" s="19">
        <f>IF(AD404=21,J404,0)</f>
        <v>0</v>
      </c>
      <c r="AD404" s="36">
        <v>21</v>
      </c>
      <c r="AE404" s="36">
        <f>G404*0.345925925925926</f>
        <v>0</v>
      </c>
      <c r="AF404" s="36">
        <f>G404*(1-0.345925925925926)</f>
        <v>0</v>
      </c>
      <c r="AM404" s="36">
        <f>F404*AE404</f>
        <v>0</v>
      </c>
      <c r="AN404" s="36">
        <f>F404*AF404</f>
        <v>0</v>
      </c>
      <c r="AO404" s="37" t="s">
        <v>853</v>
      </c>
      <c r="AP404" s="37" t="s">
        <v>867</v>
      </c>
      <c r="AQ404" s="29" t="s">
        <v>870</v>
      </c>
    </row>
    <row r="405" spans="4:6" ht="12.75">
      <c r="D405" s="15" t="s">
        <v>619</v>
      </c>
      <c r="F405" s="20">
        <v>491.235</v>
      </c>
    </row>
    <row r="406" spans="1:43" ht="12.75">
      <c r="A406" s="6" t="s">
        <v>113</v>
      </c>
      <c r="B406" s="6"/>
      <c r="C406" s="6" t="s">
        <v>253</v>
      </c>
      <c r="D406" s="6" t="s">
        <v>621</v>
      </c>
      <c r="E406" s="6" t="s">
        <v>806</v>
      </c>
      <c r="F406" s="21">
        <v>396.48305</v>
      </c>
      <c r="G406" s="21">
        <v>0</v>
      </c>
      <c r="H406" s="21">
        <f>F406*AE406</f>
        <v>0</v>
      </c>
      <c r="I406" s="21">
        <f>J406-H406</f>
        <v>0</v>
      </c>
      <c r="J406" s="21">
        <f>F406*G406</f>
        <v>0</v>
      </c>
      <c r="K406" s="21">
        <v>0.0035</v>
      </c>
      <c r="L406" s="21">
        <f>F406*K406</f>
        <v>1.387690675</v>
      </c>
      <c r="M406" s="33"/>
      <c r="N406" s="33" t="s">
        <v>831</v>
      </c>
      <c r="O406" s="21">
        <f>IF(N406="5",I406,0)</f>
        <v>0</v>
      </c>
      <c r="Z406" s="21">
        <f>IF(AD406=0,J406,0)</f>
        <v>0</v>
      </c>
      <c r="AA406" s="21">
        <f>IF(AD406=15,J406,0)</f>
        <v>0</v>
      </c>
      <c r="AB406" s="21">
        <f>IF(AD406=21,J406,0)</f>
        <v>0</v>
      </c>
      <c r="AD406" s="36">
        <v>21</v>
      </c>
      <c r="AE406" s="36">
        <f>G406*1</f>
        <v>0</v>
      </c>
      <c r="AF406" s="36">
        <f>G406*(1-1)</f>
        <v>0</v>
      </c>
      <c r="AM406" s="36">
        <f>F406*AE406</f>
        <v>0</v>
      </c>
      <c r="AN406" s="36">
        <f>F406*AF406</f>
        <v>0</v>
      </c>
      <c r="AO406" s="37" t="s">
        <v>853</v>
      </c>
      <c r="AP406" s="37" t="s">
        <v>867</v>
      </c>
      <c r="AQ406" s="29" t="s">
        <v>870</v>
      </c>
    </row>
    <row r="407" spans="4:6" ht="12.75">
      <c r="D407" s="15" t="s">
        <v>622</v>
      </c>
      <c r="F407" s="20">
        <v>491.235</v>
      </c>
    </row>
    <row r="408" spans="4:6" ht="12.75">
      <c r="D408" s="15" t="s">
        <v>623</v>
      </c>
      <c r="F408" s="20">
        <v>-4.5</v>
      </c>
    </row>
    <row r="409" spans="4:6" ht="12.75">
      <c r="D409" s="15" t="s">
        <v>624</v>
      </c>
      <c r="F409" s="20">
        <v>-80</v>
      </c>
    </row>
    <row r="410" spans="4:6" ht="12.75">
      <c r="D410" s="15" t="s">
        <v>625</v>
      </c>
      <c r="F410" s="20">
        <v>-16.8</v>
      </c>
    </row>
    <row r="411" spans="4:6" ht="12.75">
      <c r="D411" s="15" t="s">
        <v>626</v>
      </c>
      <c r="F411" s="20">
        <v>-5</v>
      </c>
    </row>
    <row r="412" spans="4:6" ht="12.75">
      <c r="D412" s="15" t="s">
        <v>627</v>
      </c>
      <c r="F412" s="20">
        <v>11.54805</v>
      </c>
    </row>
    <row r="413" spans="1:43" ht="12.75">
      <c r="A413" s="6" t="s">
        <v>114</v>
      </c>
      <c r="B413" s="6"/>
      <c r="C413" s="6" t="s">
        <v>254</v>
      </c>
      <c r="D413" s="6" t="s">
        <v>628</v>
      </c>
      <c r="E413" s="6" t="s">
        <v>806</v>
      </c>
      <c r="F413" s="21">
        <v>109.489</v>
      </c>
      <c r="G413" s="21">
        <v>0</v>
      </c>
      <c r="H413" s="21">
        <f>F413*AE413</f>
        <v>0</v>
      </c>
      <c r="I413" s="21">
        <f>J413-H413</f>
        <v>0</v>
      </c>
      <c r="J413" s="21">
        <f>F413*G413</f>
        <v>0</v>
      </c>
      <c r="K413" s="21">
        <v>0.0032</v>
      </c>
      <c r="L413" s="21">
        <f>F413*K413</f>
        <v>0.35036480000000003</v>
      </c>
      <c r="M413" s="33"/>
      <c r="N413" s="33" t="s">
        <v>831</v>
      </c>
      <c r="O413" s="21">
        <f>IF(N413="5",I413,0)</f>
        <v>0</v>
      </c>
      <c r="Z413" s="21">
        <f>IF(AD413=0,J413,0)</f>
        <v>0</v>
      </c>
      <c r="AA413" s="21">
        <f>IF(AD413=15,J413,0)</f>
        <v>0</v>
      </c>
      <c r="AB413" s="21">
        <f>IF(AD413=21,J413,0)</f>
        <v>0</v>
      </c>
      <c r="AD413" s="36">
        <v>21</v>
      </c>
      <c r="AE413" s="36">
        <f>G413*1</f>
        <v>0</v>
      </c>
      <c r="AF413" s="36">
        <f>G413*(1-1)</f>
        <v>0</v>
      </c>
      <c r="AM413" s="36">
        <f>F413*AE413</f>
        <v>0</v>
      </c>
      <c r="AN413" s="36">
        <f>F413*AF413</f>
        <v>0</v>
      </c>
      <c r="AO413" s="37" t="s">
        <v>853</v>
      </c>
      <c r="AP413" s="37" t="s">
        <v>867</v>
      </c>
      <c r="AQ413" s="29" t="s">
        <v>870</v>
      </c>
    </row>
    <row r="414" spans="4:6" ht="12.75">
      <c r="D414" s="15" t="s">
        <v>587</v>
      </c>
      <c r="F414" s="20">
        <v>4.5</v>
      </c>
    </row>
    <row r="415" spans="4:6" ht="12.75">
      <c r="D415" s="15" t="s">
        <v>566</v>
      </c>
      <c r="F415" s="20">
        <v>80</v>
      </c>
    </row>
    <row r="416" spans="4:6" ht="12.75">
      <c r="D416" s="15" t="s">
        <v>629</v>
      </c>
      <c r="F416" s="20">
        <v>16.8</v>
      </c>
    </row>
    <row r="417" spans="4:6" ht="12.75">
      <c r="D417" s="15" t="s">
        <v>630</v>
      </c>
      <c r="F417" s="20">
        <v>5</v>
      </c>
    </row>
    <row r="418" spans="4:6" ht="12.75">
      <c r="D418" s="15" t="s">
        <v>631</v>
      </c>
      <c r="F418" s="20">
        <v>3.189</v>
      </c>
    </row>
    <row r="419" spans="1:43" ht="12.75">
      <c r="A419" s="6" t="s">
        <v>115</v>
      </c>
      <c r="B419" s="6"/>
      <c r="C419" s="6" t="s">
        <v>255</v>
      </c>
      <c r="D419" s="6" t="s">
        <v>632</v>
      </c>
      <c r="E419" s="6" t="s">
        <v>807</v>
      </c>
      <c r="F419" s="21">
        <v>464.508</v>
      </c>
      <c r="G419" s="21">
        <v>0</v>
      </c>
      <c r="H419" s="21">
        <f>F419*AE419</f>
        <v>0</v>
      </c>
      <c r="I419" s="21">
        <f>J419-H419</f>
        <v>0</v>
      </c>
      <c r="J419" s="21">
        <f>F419*G419</f>
        <v>0</v>
      </c>
      <c r="K419" s="21">
        <v>0.00012</v>
      </c>
      <c r="L419" s="21">
        <f>F419*K419</f>
        <v>0.05574096</v>
      </c>
      <c r="M419" s="33" t="s">
        <v>829</v>
      </c>
      <c r="N419" s="33" t="s">
        <v>831</v>
      </c>
      <c r="O419" s="21">
        <f>IF(N419="5",I419,0)</f>
        <v>0</v>
      </c>
      <c r="Z419" s="21">
        <f>IF(AD419=0,J419,0)</f>
        <v>0</v>
      </c>
      <c r="AA419" s="21">
        <f>IF(AD419=15,J419,0)</f>
        <v>0</v>
      </c>
      <c r="AB419" s="21">
        <f>IF(AD419=21,J419,0)</f>
        <v>0</v>
      </c>
      <c r="AD419" s="36">
        <v>21</v>
      </c>
      <c r="AE419" s="36">
        <f>G419*1</f>
        <v>0</v>
      </c>
      <c r="AF419" s="36">
        <f>G419*(1-1)</f>
        <v>0</v>
      </c>
      <c r="AM419" s="36">
        <f>F419*AE419</f>
        <v>0</v>
      </c>
      <c r="AN419" s="36">
        <f>F419*AF419</f>
        <v>0</v>
      </c>
      <c r="AO419" s="37" t="s">
        <v>853</v>
      </c>
      <c r="AP419" s="37" t="s">
        <v>867</v>
      </c>
      <c r="AQ419" s="29" t="s">
        <v>870</v>
      </c>
    </row>
    <row r="420" spans="4:6" ht="12.75">
      <c r="D420" s="15" t="s">
        <v>633</v>
      </c>
      <c r="F420" s="20">
        <v>455.4</v>
      </c>
    </row>
    <row r="421" spans="4:6" ht="12.75">
      <c r="D421" s="15" t="s">
        <v>634</v>
      </c>
      <c r="F421" s="20">
        <v>9.108</v>
      </c>
    </row>
    <row r="422" spans="1:43" ht="12.75">
      <c r="A422" s="4" t="s">
        <v>116</v>
      </c>
      <c r="B422" s="4"/>
      <c r="C422" s="4" t="s">
        <v>256</v>
      </c>
      <c r="D422" s="4" t="s">
        <v>635</v>
      </c>
      <c r="E422" s="4" t="s">
        <v>807</v>
      </c>
      <c r="F422" s="19">
        <v>9.8</v>
      </c>
      <c r="G422" s="19">
        <v>0</v>
      </c>
      <c r="H422" s="19">
        <f>F422*AE422</f>
        <v>0</v>
      </c>
      <c r="I422" s="19">
        <f>J422-H422</f>
        <v>0</v>
      </c>
      <c r="J422" s="19">
        <f>F422*G422</f>
        <v>0</v>
      </c>
      <c r="K422" s="19">
        <v>0</v>
      </c>
      <c r="L422" s="19">
        <f>F422*K422</f>
        <v>0</v>
      </c>
      <c r="M422" s="32" t="s">
        <v>829</v>
      </c>
      <c r="N422" s="32" t="s">
        <v>7</v>
      </c>
      <c r="O422" s="19">
        <f>IF(N422="5",I422,0)</f>
        <v>0</v>
      </c>
      <c r="Z422" s="19">
        <f>IF(AD422=0,J422,0)</f>
        <v>0</v>
      </c>
      <c r="AA422" s="19">
        <f>IF(AD422=15,J422,0)</f>
        <v>0</v>
      </c>
      <c r="AB422" s="19">
        <f>IF(AD422=21,J422,0)</f>
        <v>0</v>
      </c>
      <c r="AD422" s="36">
        <v>21</v>
      </c>
      <c r="AE422" s="36">
        <f>G422*0</f>
        <v>0</v>
      </c>
      <c r="AF422" s="36">
        <f>G422*(1-0)</f>
        <v>0</v>
      </c>
      <c r="AM422" s="36">
        <f>F422*AE422</f>
        <v>0</v>
      </c>
      <c r="AN422" s="36">
        <f>F422*AF422</f>
        <v>0</v>
      </c>
      <c r="AO422" s="37" t="s">
        <v>853</v>
      </c>
      <c r="AP422" s="37" t="s">
        <v>867</v>
      </c>
      <c r="AQ422" s="29" t="s">
        <v>870</v>
      </c>
    </row>
    <row r="423" spans="4:6" ht="12.75">
      <c r="D423" s="15" t="s">
        <v>636</v>
      </c>
      <c r="F423" s="20">
        <v>1.2</v>
      </c>
    </row>
    <row r="424" spans="4:6" ht="12.75">
      <c r="D424" s="15" t="s">
        <v>637</v>
      </c>
      <c r="F424" s="20">
        <v>1.2</v>
      </c>
    </row>
    <row r="425" spans="4:6" ht="12.75">
      <c r="D425" s="15" t="s">
        <v>638</v>
      </c>
      <c r="F425" s="20">
        <v>1.2</v>
      </c>
    </row>
    <row r="426" spans="4:6" ht="12.75">
      <c r="D426" s="15" t="s">
        <v>639</v>
      </c>
      <c r="F426" s="20">
        <v>1.2</v>
      </c>
    </row>
    <row r="427" spans="4:6" ht="12.75">
      <c r="D427" s="15" t="s">
        <v>640</v>
      </c>
      <c r="F427" s="20">
        <v>1.2</v>
      </c>
    </row>
    <row r="428" spans="4:6" ht="12.75">
      <c r="D428" s="15" t="s">
        <v>641</v>
      </c>
      <c r="F428" s="20">
        <v>1.2</v>
      </c>
    </row>
    <row r="429" spans="4:6" ht="12.75">
      <c r="D429" s="15" t="s">
        <v>642</v>
      </c>
      <c r="F429" s="20">
        <v>1.4</v>
      </c>
    </row>
    <row r="430" spans="4:6" ht="12.75">
      <c r="D430" s="15" t="s">
        <v>643</v>
      </c>
      <c r="F430" s="20">
        <v>1.2</v>
      </c>
    </row>
    <row r="431" spans="1:43" ht="12.75">
      <c r="A431" s="6" t="s">
        <v>117</v>
      </c>
      <c r="B431" s="6"/>
      <c r="C431" s="6" t="s">
        <v>257</v>
      </c>
      <c r="D431" s="6" t="s">
        <v>644</v>
      </c>
      <c r="E431" s="6" t="s">
        <v>805</v>
      </c>
      <c r="F431" s="21">
        <v>16</v>
      </c>
      <c r="G431" s="21">
        <v>0</v>
      </c>
      <c r="H431" s="21">
        <f>F431*AE431</f>
        <v>0</v>
      </c>
      <c r="I431" s="21">
        <f>J431-H431</f>
        <v>0</v>
      </c>
      <c r="J431" s="21">
        <f>F431*G431</f>
        <v>0</v>
      </c>
      <c r="K431" s="21">
        <v>0.00018</v>
      </c>
      <c r="L431" s="21">
        <f>F431*K431</f>
        <v>0.00288</v>
      </c>
      <c r="M431" s="33" t="s">
        <v>829</v>
      </c>
      <c r="N431" s="33" t="s">
        <v>831</v>
      </c>
      <c r="O431" s="21">
        <f>IF(N431="5",I431,0)</f>
        <v>0</v>
      </c>
      <c r="Z431" s="21">
        <f>IF(AD431=0,J431,0)</f>
        <v>0</v>
      </c>
      <c r="AA431" s="21">
        <f>IF(AD431=15,J431,0)</f>
        <v>0</v>
      </c>
      <c r="AB431" s="21">
        <f>IF(AD431=21,J431,0)</f>
        <v>0</v>
      </c>
      <c r="AD431" s="36">
        <v>21</v>
      </c>
      <c r="AE431" s="36">
        <f>G431*1</f>
        <v>0</v>
      </c>
      <c r="AF431" s="36">
        <f>G431*(1-1)</f>
        <v>0</v>
      </c>
      <c r="AM431" s="36">
        <f>F431*AE431</f>
        <v>0</v>
      </c>
      <c r="AN431" s="36">
        <f>F431*AF431</f>
        <v>0</v>
      </c>
      <c r="AO431" s="37" t="s">
        <v>853</v>
      </c>
      <c r="AP431" s="37" t="s">
        <v>867</v>
      </c>
      <c r="AQ431" s="29" t="s">
        <v>870</v>
      </c>
    </row>
    <row r="432" spans="4:6" ht="12.75">
      <c r="D432" s="15" t="s">
        <v>645</v>
      </c>
      <c r="F432" s="20">
        <v>2</v>
      </c>
    </row>
    <row r="433" spans="4:6" ht="12.75">
      <c r="D433" s="15" t="s">
        <v>646</v>
      </c>
      <c r="F433" s="20">
        <v>2</v>
      </c>
    </row>
    <row r="434" spans="4:6" ht="12.75">
      <c r="D434" s="15" t="s">
        <v>647</v>
      </c>
      <c r="F434" s="20">
        <v>2</v>
      </c>
    </row>
    <row r="435" spans="4:6" ht="12.75">
      <c r="D435" s="15" t="s">
        <v>648</v>
      </c>
      <c r="F435" s="20">
        <v>2</v>
      </c>
    </row>
    <row r="436" spans="4:6" ht="12.75">
      <c r="D436" s="15" t="s">
        <v>649</v>
      </c>
      <c r="F436" s="20">
        <v>2</v>
      </c>
    </row>
    <row r="437" spans="4:6" ht="12.75">
      <c r="D437" s="15" t="s">
        <v>650</v>
      </c>
      <c r="F437" s="20">
        <v>2</v>
      </c>
    </row>
    <row r="438" spans="4:6" ht="12.75">
      <c r="D438" s="15" t="s">
        <v>651</v>
      </c>
      <c r="F438" s="20">
        <v>2</v>
      </c>
    </row>
    <row r="439" spans="4:6" ht="12.75">
      <c r="D439" s="15" t="s">
        <v>652</v>
      </c>
      <c r="F439" s="20">
        <v>2</v>
      </c>
    </row>
    <row r="440" spans="1:37" ht="12.75">
      <c r="A440" s="5"/>
      <c r="B440" s="13"/>
      <c r="C440" s="13" t="s">
        <v>258</v>
      </c>
      <c r="D440" s="67" t="s">
        <v>653</v>
      </c>
      <c r="E440" s="68"/>
      <c r="F440" s="68"/>
      <c r="G440" s="68"/>
      <c r="H440" s="39">
        <f>SUM(H441:H480)</f>
        <v>0</v>
      </c>
      <c r="I440" s="39">
        <f>SUM(I441:I480)</f>
        <v>0</v>
      </c>
      <c r="J440" s="39">
        <f>H440+I440</f>
        <v>0</v>
      </c>
      <c r="K440" s="29"/>
      <c r="L440" s="39">
        <f>SUM(L441:L480)</f>
        <v>4.3758396325</v>
      </c>
      <c r="M440" s="29"/>
      <c r="P440" s="39">
        <f>IF(Q440="PR",J440,SUM(O441:O480))</f>
        <v>0</v>
      </c>
      <c r="Q440" s="29" t="s">
        <v>835</v>
      </c>
      <c r="R440" s="39">
        <f>IF(Q440="HS",H440,0)</f>
        <v>0</v>
      </c>
      <c r="S440" s="39">
        <f>IF(Q440="HS",I440-P440,0)</f>
        <v>0</v>
      </c>
      <c r="T440" s="39">
        <f>IF(Q440="PS",H440,0)</f>
        <v>0</v>
      </c>
      <c r="U440" s="39">
        <f>IF(Q440="PS",I440-P440,0)</f>
        <v>0</v>
      </c>
      <c r="V440" s="39">
        <f>IF(Q440="MP",H440,0)</f>
        <v>0</v>
      </c>
      <c r="W440" s="39">
        <f>IF(Q440="MP",I440-P440,0)</f>
        <v>0</v>
      </c>
      <c r="X440" s="39">
        <f>IF(Q440="OM",H440,0)</f>
        <v>0</v>
      </c>
      <c r="Y440" s="29"/>
      <c r="AI440" s="39">
        <f>SUM(Z441:Z480)</f>
        <v>0</v>
      </c>
      <c r="AJ440" s="39">
        <f>SUM(AA441:AA480)</f>
        <v>0</v>
      </c>
      <c r="AK440" s="39">
        <f>SUM(AB441:AB480)</f>
        <v>0</v>
      </c>
    </row>
    <row r="441" spans="1:43" ht="12.75">
      <c r="A441" s="4" t="s">
        <v>118</v>
      </c>
      <c r="B441" s="4"/>
      <c r="C441" s="4" t="s">
        <v>259</v>
      </c>
      <c r="D441" s="4" t="s">
        <v>654</v>
      </c>
      <c r="E441" s="4" t="s">
        <v>806</v>
      </c>
      <c r="F441" s="19">
        <v>212.065</v>
      </c>
      <c r="G441" s="19">
        <v>0</v>
      </c>
      <c r="H441" s="19">
        <f>F441*AE441</f>
        <v>0</v>
      </c>
      <c r="I441" s="19">
        <f>J441-H441</f>
        <v>0</v>
      </c>
      <c r="J441" s="19">
        <f>F441*G441</f>
        <v>0</v>
      </c>
      <c r="K441" s="19">
        <v>0.00445</v>
      </c>
      <c r="L441" s="19">
        <f>F441*K441</f>
        <v>0.94368925</v>
      </c>
      <c r="M441" s="32" t="s">
        <v>829</v>
      </c>
      <c r="N441" s="32" t="s">
        <v>7</v>
      </c>
      <c r="O441" s="19">
        <f>IF(N441="5",I441,0)</f>
        <v>0</v>
      </c>
      <c r="Z441" s="19">
        <f>IF(AD441=0,J441,0)</f>
        <v>0</v>
      </c>
      <c r="AA441" s="19">
        <f>IF(AD441=15,J441,0)</f>
        <v>0</v>
      </c>
      <c r="AB441" s="19">
        <f>IF(AD441=21,J441,0)</f>
        <v>0</v>
      </c>
      <c r="AD441" s="36">
        <v>21</v>
      </c>
      <c r="AE441" s="36">
        <f>G441*0</f>
        <v>0</v>
      </c>
      <c r="AF441" s="36">
        <f>G441*(1-0)</f>
        <v>0</v>
      </c>
      <c r="AM441" s="36">
        <f>F441*AE441</f>
        <v>0</v>
      </c>
      <c r="AN441" s="36">
        <f>F441*AF441</f>
        <v>0</v>
      </c>
      <c r="AO441" s="37" t="s">
        <v>854</v>
      </c>
      <c r="AP441" s="37" t="s">
        <v>868</v>
      </c>
      <c r="AQ441" s="29" t="s">
        <v>870</v>
      </c>
    </row>
    <row r="442" spans="4:6" ht="12.75">
      <c r="D442" s="15" t="s">
        <v>324</v>
      </c>
      <c r="F442" s="20">
        <v>18.365</v>
      </c>
    </row>
    <row r="443" spans="4:6" ht="12.75">
      <c r="D443" s="15" t="s">
        <v>325</v>
      </c>
      <c r="F443" s="20">
        <v>7.38</v>
      </c>
    </row>
    <row r="444" spans="4:6" ht="12.75">
      <c r="D444" s="15" t="s">
        <v>326</v>
      </c>
      <c r="F444" s="20">
        <v>25.745</v>
      </c>
    </row>
    <row r="445" spans="4:6" ht="12.75">
      <c r="D445" s="15" t="s">
        <v>327</v>
      </c>
      <c r="F445" s="20">
        <v>25.745</v>
      </c>
    </row>
    <row r="446" spans="4:6" ht="12.75">
      <c r="D446" s="15" t="s">
        <v>327</v>
      </c>
      <c r="F446" s="20">
        <v>25.745</v>
      </c>
    </row>
    <row r="447" spans="4:6" ht="12.75">
      <c r="D447" s="15" t="s">
        <v>328</v>
      </c>
      <c r="F447" s="20">
        <v>25.745</v>
      </c>
    </row>
    <row r="448" spans="4:6" ht="12.75">
      <c r="D448" s="15" t="s">
        <v>329</v>
      </c>
      <c r="F448" s="20">
        <v>25.745</v>
      </c>
    </row>
    <row r="449" spans="4:6" ht="12.75">
      <c r="D449" s="15" t="s">
        <v>330</v>
      </c>
      <c r="F449" s="20">
        <v>3.3</v>
      </c>
    </row>
    <row r="450" spans="4:6" ht="12.75">
      <c r="D450" s="15" t="s">
        <v>331</v>
      </c>
      <c r="F450" s="20">
        <v>9.9</v>
      </c>
    </row>
    <row r="451" spans="4:6" ht="12.75">
      <c r="D451" s="15" t="s">
        <v>332</v>
      </c>
      <c r="F451" s="20">
        <v>7.56</v>
      </c>
    </row>
    <row r="452" spans="4:6" ht="12.75">
      <c r="D452" s="15" t="s">
        <v>333</v>
      </c>
      <c r="F452" s="20">
        <v>9.9</v>
      </c>
    </row>
    <row r="453" spans="4:6" ht="12.75">
      <c r="D453" s="15" t="s">
        <v>334</v>
      </c>
      <c r="F453" s="20">
        <v>8.1</v>
      </c>
    </row>
    <row r="454" spans="4:6" ht="12.75">
      <c r="D454" s="15" t="s">
        <v>335</v>
      </c>
      <c r="F454" s="20">
        <v>18.835</v>
      </c>
    </row>
    <row r="455" spans="1:43" ht="12.75">
      <c r="A455" s="6" t="s">
        <v>119</v>
      </c>
      <c r="B455" s="6"/>
      <c r="C455" s="6" t="s">
        <v>260</v>
      </c>
      <c r="D455" s="6" t="s">
        <v>655</v>
      </c>
      <c r="E455" s="6" t="s">
        <v>806</v>
      </c>
      <c r="F455" s="21">
        <v>222.66825</v>
      </c>
      <c r="G455" s="21">
        <v>0</v>
      </c>
      <c r="H455" s="21">
        <f>F455*AE455</f>
        <v>0</v>
      </c>
      <c r="I455" s="21">
        <f>J455-H455</f>
        <v>0</v>
      </c>
      <c r="J455" s="21">
        <f>F455*G455</f>
        <v>0</v>
      </c>
      <c r="K455" s="21">
        <v>0.015</v>
      </c>
      <c r="L455" s="21">
        <f>F455*K455</f>
        <v>3.34002375</v>
      </c>
      <c r="M455" s="33"/>
      <c r="N455" s="33" t="s">
        <v>831</v>
      </c>
      <c r="O455" s="21">
        <f>IF(N455="5",I455,0)</f>
        <v>0</v>
      </c>
      <c r="Z455" s="21">
        <f>IF(AD455=0,J455,0)</f>
        <v>0</v>
      </c>
      <c r="AA455" s="21">
        <f>IF(AD455=15,J455,0)</f>
        <v>0</v>
      </c>
      <c r="AB455" s="21">
        <f>IF(AD455=21,J455,0)</f>
        <v>0</v>
      </c>
      <c r="AD455" s="36">
        <v>21</v>
      </c>
      <c r="AE455" s="36">
        <f>G455*1</f>
        <v>0</v>
      </c>
      <c r="AF455" s="36">
        <f>G455*(1-1)</f>
        <v>0</v>
      </c>
      <c r="AM455" s="36">
        <f>F455*AE455</f>
        <v>0</v>
      </c>
      <c r="AN455" s="36">
        <f>F455*AF455</f>
        <v>0</v>
      </c>
      <c r="AO455" s="37" t="s">
        <v>854</v>
      </c>
      <c r="AP455" s="37" t="s">
        <v>868</v>
      </c>
      <c r="AQ455" s="29" t="s">
        <v>870</v>
      </c>
    </row>
    <row r="456" spans="4:6" ht="12.75">
      <c r="D456" s="15" t="s">
        <v>656</v>
      </c>
      <c r="F456" s="20">
        <v>212.065</v>
      </c>
    </row>
    <row r="457" spans="4:6" ht="12.75">
      <c r="D457" s="15" t="s">
        <v>657</v>
      </c>
      <c r="F457" s="20">
        <v>10.60325</v>
      </c>
    </row>
    <row r="458" spans="1:43" ht="12.75">
      <c r="A458" s="4" t="s">
        <v>120</v>
      </c>
      <c r="B458" s="4"/>
      <c r="C458" s="4" t="s">
        <v>261</v>
      </c>
      <c r="D458" s="4" t="s">
        <v>658</v>
      </c>
      <c r="E458" s="4" t="s">
        <v>806</v>
      </c>
      <c r="F458" s="19">
        <v>222.66825</v>
      </c>
      <c r="G458" s="19">
        <v>0</v>
      </c>
      <c r="H458" s="19">
        <f>F458*AE458</f>
        <v>0</v>
      </c>
      <c r="I458" s="19">
        <f>J458-H458</f>
        <v>0</v>
      </c>
      <c r="J458" s="19">
        <f>F458*G458</f>
        <v>0</v>
      </c>
      <c r="K458" s="19">
        <v>0.00021</v>
      </c>
      <c r="L458" s="19">
        <f>F458*K458</f>
        <v>0.0467603325</v>
      </c>
      <c r="M458" s="32" t="s">
        <v>829</v>
      </c>
      <c r="N458" s="32" t="s">
        <v>7</v>
      </c>
      <c r="O458" s="19">
        <f>IF(N458="5",I458,0)</f>
        <v>0</v>
      </c>
      <c r="Z458" s="19">
        <f>IF(AD458=0,J458,0)</f>
        <v>0</v>
      </c>
      <c r="AA458" s="19">
        <f>IF(AD458=15,J458,0)</f>
        <v>0</v>
      </c>
      <c r="AB458" s="19">
        <f>IF(AD458=21,J458,0)</f>
        <v>0</v>
      </c>
      <c r="AD458" s="36">
        <v>21</v>
      </c>
      <c r="AE458" s="36">
        <f>G458*0.567362924281984</f>
        <v>0</v>
      </c>
      <c r="AF458" s="36">
        <f>G458*(1-0.567362924281984)</f>
        <v>0</v>
      </c>
      <c r="AM458" s="36">
        <f>F458*AE458</f>
        <v>0</v>
      </c>
      <c r="AN458" s="36">
        <f>F458*AF458</f>
        <v>0</v>
      </c>
      <c r="AO458" s="37" t="s">
        <v>854</v>
      </c>
      <c r="AP458" s="37" t="s">
        <v>868</v>
      </c>
      <c r="AQ458" s="29" t="s">
        <v>870</v>
      </c>
    </row>
    <row r="459" spans="4:6" ht="12.75">
      <c r="D459" s="15" t="s">
        <v>656</v>
      </c>
      <c r="F459" s="20">
        <v>212.065</v>
      </c>
    </row>
    <row r="460" spans="4:6" ht="12.75">
      <c r="D460" s="15" t="s">
        <v>657</v>
      </c>
      <c r="F460" s="20">
        <v>10.60325</v>
      </c>
    </row>
    <row r="461" spans="1:43" ht="12.75">
      <c r="A461" s="4" t="s">
        <v>121</v>
      </c>
      <c r="B461" s="4"/>
      <c r="C461" s="4" t="s">
        <v>262</v>
      </c>
      <c r="D461" s="4" t="s">
        <v>659</v>
      </c>
      <c r="E461" s="4" t="s">
        <v>806</v>
      </c>
      <c r="F461" s="19">
        <v>69.1625</v>
      </c>
      <c r="G461" s="19">
        <v>0</v>
      </c>
      <c r="H461" s="19">
        <f>F461*AE461</f>
        <v>0</v>
      </c>
      <c r="I461" s="19">
        <f>J461-H461</f>
        <v>0</v>
      </c>
      <c r="J461" s="19">
        <f>F461*G461</f>
        <v>0</v>
      </c>
      <c r="K461" s="19">
        <v>0</v>
      </c>
      <c r="L461" s="19">
        <f>F461*K461</f>
        <v>0</v>
      </c>
      <c r="M461" s="32" t="s">
        <v>829</v>
      </c>
      <c r="N461" s="32" t="s">
        <v>7</v>
      </c>
      <c r="O461" s="19">
        <f>IF(N461="5",I461,0)</f>
        <v>0</v>
      </c>
      <c r="Z461" s="19">
        <f>IF(AD461=0,J461,0)</f>
        <v>0</v>
      </c>
      <c r="AA461" s="19">
        <f>IF(AD461=15,J461,0)</f>
        <v>0</v>
      </c>
      <c r="AB461" s="19">
        <f>IF(AD461=21,J461,0)</f>
        <v>0</v>
      </c>
      <c r="AD461" s="36">
        <v>21</v>
      </c>
      <c r="AE461" s="36">
        <f>G461*0</f>
        <v>0</v>
      </c>
      <c r="AF461" s="36">
        <f>G461*(1-0)</f>
        <v>0</v>
      </c>
      <c r="AM461" s="36">
        <f>F461*AE461</f>
        <v>0</v>
      </c>
      <c r="AN461" s="36">
        <f>F461*AF461</f>
        <v>0</v>
      </c>
      <c r="AO461" s="37" t="s">
        <v>854</v>
      </c>
      <c r="AP461" s="37" t="s">
        <v>868</v>
      </c>
      <c r="AQ461" s="29" t="s">
        <v>870</v>
      </c>
    </row>
    <row r="462" spans="4:6" ht="12.75">
      <c r="D462" s="15" t="s">
        <v>660</v>
      </c>
      <c r="F462" s="20">
        <v>9.125</v>
      </c>
    </row>
    <row r="463" spans="4:6" ht="12.75">
      <c r="D463" s="15" t="s">
        <v>661</v>
      </c>
      <c r="F463" s="20">
        <v>9.125</v>
      </c>
    </row>
    <row r="464" spans="4:6" ht="12.75">
      <c r="D464" s="15" t="s">
        <v>662</v>
      </c>
      <c r="F464" s="20">
        <v>9.125</v>
      </c>
    </row>
    <row r="465" spans="4:6" ht="12.75">
      <c r="D465" s="15" t="s">
        <v>663</v>
      </c>
      <c r="F465" s="20">
        <v>9.125</v>
      </c>
    </row>
    <row r="466" spans="4:6" ht="12.75">
      <c r="D466" s="15" t="s">
        <v>664</v>
      </c>
      <c r="F466" s="20">
        <v>9.125</v>
      </c>
    </row>
    <row r="467" spans="4:6" ht="12.75">
      <c r="D467" s="15" t="s">
        <v>665</v>
      </c>
      <c r="F467" s="20">
        <v>9.125</v>
      </c>
    </row>
    <row r="468" spans="4:6" ht="12.75">
      <c r="D468" s="15" t="s">
        <v>666</v>
      </c>
      <c r="F468" s="20">
        <v>8.125</v>
      </c>
    </row>
    <row r="469" spans="4:6" ht="12.75">
      <c r="D469" s="15" t="s">
        <v>667</v>
      </c>
      <c r="F469" s="20">
        <v>6.2875</v>
      </c>
    </row>
    <row r="470" spans="1:43" ht="12.75">
      <c r="A470" s="4" t="s">
        <v>122</v>
      </c>
      <c r="B470" s="4"/>
      <c r="C470" s="4" t="s">
        <v>263</v>
      </c>
      <c r="D470" s="4" t="s">
        <v>668</v>
      </c>
      <c r="E470" s="4" t="s">
        <v>807</v>
      </c>
      <c r="F470" s="19">
        <v>227.4</v>
      </c>
      <c r="G470" s="19">
        <v>0</v>
      </c>
      <c r="H470" s="19">
        <f>F470*AE470</f>
        <v>0</v>
      </c>
      <c r="I470" s="19">
        <f>J470-H470</f>
        <v>0</v>
      </c>
      <c r="J470" s="19">
        <f>F470*G470</f>
        <v>0</v>
      </c>
      <c r="K470" s="19">
        <v>0</v>
      </c>
      <c r="L470" s="19">
        <f>F470*K470</f>
        <v>0</v>
      </c>
      <c r="M470" s="32" t="s">
        <v>829</v>
      </c>
      <c r="N470" s="32" t="s">
        <v>7</v>
      </c>
      <c r="O470" s="19">
        <f>IF(N470="5",I470,0)</f>
        <v>0</v>
      </c>
      <c r="Z470" s="19">
        <f>IF(AD470=0,J470,0)</f>
        <v>0</v>
      </c>
      <c r="AA470" s="19">
        <f>IF(AD470=15,J470,0)</f>
        <v>0</v>
      </c>
      <c r="AB470" s="19">
        <f>IF(AD470=21,J470,0)</f>
        <v>0</v>
      </c>
      <c r="AD470" s="36">
        <v>21</v>
      </c>
      <c r="AE470" s="36">
        <f>G470*0</f>
        <v>0</v>
      </c>
      <c r="AF470" s="36">
        <f>G470*(1-0)</f>
        <v>0</v>
      </c>
      <c r="AM470" s="36">
        <f>F470*AE470</f>
        <v>0</v>
      </c>
      <c r="AN470" s="36">
        <f>F470*AF470</f>
        <v>0</v>
      </c>
      <c r="AO470" s="37" t="s">
        <v>854</v>
      </c>
      <c r="AP470" s="37" t="s">
        <v>868</v>
      </c>
      <c r="AQ470" s="29" t="s">
        <v>870</v>
      </c>
    </row>
    <row r="471" spans="4:6" ht="12.75">
      <c r="D471" s="15" t="s">
        <v>669</v>
      </c>
      <c r="F471" s="20">
        <v>22.2</v>
      </c>
    </row>
    <row r="472" spans="4:6" ht="12.75">
      <c r="D472" s="15" t="s">
        <v>670</v>
      </c>
      <c r="F472" s="20">
        <v>7.2</v>
      </c>
    </row>
    <row r="473" spans="4:6" ht="12.75">
      <c r="D473" s="15" t="s">
        <v>671</v>
      </c>
      <c r="F473" s="20">
        <v>29.4</v>
      </c>
    </row>
    <row r="474" spans="4:6" ht="12.75">
      <c r="D474" s="15" t="s">
        <v>672</v>
      </c>
      <c r="F474" s="20">
        <v>29.4</v>
      </c>
    </row>
    <row r="475" spans="4:6" ht="12.75">
      <c r="D475" s="15" t="s">
        <v>673</v>
      </c>
      <c r="F475" s="20">
        <v>29.4</v>
      </c>
    </row>
    <row r="476" spans="4:6" ht="12.75">
      <c r="D476" s="15" t="s">
        <v>674</v>
      </c>
      <c r="F476" s="20">
        <v>29.4</v>
      </c>
    </row>
    <row r="477" spans="4:6" ht="12.75">
      <c r="D477" s="15" t="s">
        <v>675</v>
      </c>
      <c r="F477" s="20">
        <v>29.4</v>
      </c>
    </row>
    <row r="478" spans="4:6" ht="12.75">
      <c r="D478" s="15" t="s">
        <v>676</v>
      </c>
      <c r="F478" s="20">
        <v>21.6</v>
      </c>
    </row>
    <row r="479" spans="4:6" ht="12.75">
      <c r="D479" s="15" t="s">
        <v>677</v>
      </c>
      <c r="F479" s="20">
        <v>29.4</v>
      </c>
    </row>
    <row r="480" spans="1:43" ht="12.75">
      <c r="A480" s="6" t="s">
        <v>123</v>
      </c>
      <c r="B480" s="6"/>
      <c r="C480" s="6" t="s">
        <v>264</v>
      </c>
      <c r="D480" s="6" t="s">
        <v>678</v>
      </c>
      <c r="E480" s="6" t="s">
        <v>807</v>
      </c>
      <c r="F480" s="21">
        <v>238.77</v>
      </c>
      <c r="G480" s="21">
        <v>0</v>
      </c>
      <c r="H480" s="21">
        <f>F480*AE480</f>
        <v>0</v>
      </c>
      <c r="I480" s="21">
        <f>J480-H480</f>
        <v>0</v>
      </c>
      <c r="J480" s="21">
        <f>F480*G480</f>
        <v>0</v>
      </c>
      <c r="K480" s="21">
        <v>0.00019</v>
      </c>
      <c r="L480" s="21">
        <f>F480*K480</f>
        <v>0.045366300000000005</v>
      </c>
      <c r="M480" s="33" t="s">
        <v>829</v>
      </c>
      <c r="N480" s="33" t="s">
        <v>831</v>
      </c>
      <c r="O480" s="21">
        <f>IF(N480="5",I480,0)</f>
        <v>0</v>
      </c>
      <c r="Z480" s="21">
        <f>IF(AD480=0,J480,0)</f>
        <v>0</v>
      </c>
      <c r="AA480" s="21">
        <f>IF(AD480=15,J480,0)</f>
        <v>0</v>
      </c>
      <c r="AB480" s="21">
        <f>IF(AD480=21,J480,0)</f>
        <v>0</v>
      </c>
      <c r="AD480" s="36">
        <v>21</v>
      </c>
      <c r="AE480" s="36">
        <f>G480*1</f>
        <v>0</v>
      </c>
      <c r="AF480" s="36">
        <f>G480*(1-1)</f>
        <v>0</v>
      </c>
      <c r="AM480" s="36">
        <f>F480*AE480</f>
        <v>0</v>
      </c>
      <c r="AN480" s="36">
        <f>F480*AF480</f>
        <v>0</v>
      </c>
      <c r="AO480" s="37" t="s">
        <v>854</v>
      </c>
      <c r="AP480" s="37" t="s">
        <v>868</v>
      </c>
      <c r="AQ480" s="29" t="s">
        <v>870</v>
      </c>
    </row>
    <row r="481" spans="4:6" ht="12.75">
      <c r="D481" s="15" t="s">
        <v>679</v>
      </c>
      <c r="F481" s="20">
        <v>227.4</v>
      </c>
    </row>
    <row r="482" spans="4:6" ht="12.75">
      <c r="D482" s="15" t="s">
        <v>680</v>
      </c>
      <c r="F482" s="20">
        <v>11.37</v>
      </c>
    </row>
    <row r="483" spans="1:37" ht="12.75">
      <c r="A483" s="5"/>
      <c r="B483" s="13"/>
      <c r="C483" s="13" t="s">
        <v>265</v>
      </c>
      <c r="D483" s="67" t="s">
        <v>681</v>
      </c>
      <c r="E483" s="68"/>
      <c r="F483" s="68"/>
      <c r="G483" s="68"/>
      <c r="H483" s="39">
        <f>SUM(H484:H497)</f>
        <v>0</v>
      </c>
      <c r="I483" s="39">
        <f>SUM(I484:I497)</f>
        <v>0</v>
      </c>
      <c r="J483" s="39">
        <f>H483+I483</f>
        <v>0</v>
      </c>
      <c r="K483" s="29"/>
      <c r="L483" s="39">
        <f>SUM(L484:L497)</f>
        <v>0.0460096</v>
      </c>
      <c r="M483" s="29"/>
      <c r="P483" s="39">
        <f>IF(Q483="PR",J483,SUM(O484:O497))</f>
        <v>0</v>
      </c>
      <c r="Q483" s="29" t="s">
        <v>835</v>
      </c>
      <c r="R483" s="39">
        <f>IF(Q483="HS",H483,0)</f>
        <v>0</v>
      </c>
      <c r="S483" s="39">
        <f>IF(Q483="HS",I483-P483,0)</f>
        <v>0</v>
      </c>
      <c r="T483" s="39">
        <f>IF(Q483="PS",H483,0)</f>
        <v>0</v>
      </c>
      <c r="U483" s="39">
        <f>IF(Q483="PS",I483-P483,0)</f>
        <v>0</v>
      </c>
      <c r="V483" s="39">
        <f>IF(Q483="MP",H483,0)</f>
        <v>0</v>
      </c>
      <c r="W483" s="39">
        <f>IF(Q483="MP",I483-P483,0)</f>
        <v>0</v>
      </c>
      <c r="X483" s="39">
        <f>IF(Q483="OM",H483,0)</f>
        <v>0</v>
      </c>
      <c r="Y483" s="29"/>
      <c r="AI483" s="39">
        <f>SUM(Z484:Z497)</f>
        <v>0</v>
      </c>
      <c r="AJ483" s="39">
        <f>SUM(AA484:AA497)</f>
        <v>0</v>
      </c>
      <c r="AK483" s="39">
        <f>SUM(AB484:AB497)</f>
        <v>0</v>
      </c>
    </row>
    <row r="484" spans="1:43" ht="12.75">
      <c r="A484" s="4" t="s">
        <v>124</v>
      </c>
      <c r="B484" s="4"/>
      <c r="C484" s="4" t="s">
        <v>266</v>
      </c>
      <c r="D484" s="4" t="s">
        <v>682</v>
      </c>
      <c r="E484" s="4" t="s">
        <v>806</v>
      </c>
      <c r="F484" s="19">
        <v>39.68</v>
      </c>
      <c r="G484" s="19">
        <v>0</v>
      </c>
      <c r="H484" s="19">
        <f>F484*AE484</f>
        <v>0</v>
      </c>
      <c r="I484" s="19">
        <f>J484-H484</f>
        <v>0</v>
      </c>
      <c r="J484" s="19">
        <f>F484*G484</f>
        <v>0</v>
      </c>
      <c r="K484" s="19">
        <v>0.00032</v>
      </c>
      <c r="L484" s="19">
        <f>F484*K484</f>
        <v>0.012697600000000002</v>
      </c>
      <c r="M484" s="32" t="s">
        <v>829</v>
      </c>
      <c r="N484" s="32" t="s">
        <v>9</v>
      </c>
      <c r="O484" s="19">
        <f>IF(N484="5",I484,0)</f>
        <v>0</v>
      </c>
      <c r="Z484" s="19">
        <f>IF(AD484=0,J484,0)</f>
        <v>0</v>
      </c>
      <c r="AA484" s="19">
        <f>IF(AD484=15,J484,0)</f>
        <v>0</v>
      </c>
      <c r="AB484" s="19">
        <f>IF(AD484=21,J484,0)</f>
        <v>0</v>
      </c>
      <c r="AD484" s="36">
        <v>21</v>
      </c>
      <c r="AE484" s="36">
        <f>G484*0.212685446573368</f>
        <v>0</v>
      </c>
      <c r="AF484" s="36">
        <f>G484*(1-0.212685446573368)</f>
        <v>0</v>
      </c>
      <c r="AM484" s="36">
        <f>F484*AE484</f>
        <v>0</v>
      </c>
      <c r="AN484" s="36">
        <f>F484*AF484</f>
        <v>0</v>
      </c>
      <c r="AO484" s="37" t="s">
        <v>855</v>
      </c>
      <c r="AP484" s="37" t="s">
        <v>868</v>
      </c>
      <c r="AQ484" s="29" t="s">
        <v>870</v>
      </c>
    </row>
    <row r="485" spans="4:6" ht="12.75">
      <c r="D485" s="15" t="s">
        <v>683</v>
      </c>
      <c r="F485" s="20">
        <v>24.96</v>
      </c>
    </row>
    <row r="486" spans="4:6" ht="12.75">
      <c r="D486" s="15" t="s">
        <v>684</v>
      </c>
      <c r="F486" s="20">
        <v>14.72</v>
      </c>
    </row>
    <row r="487" spans="1:43" ht="12.75">
      <c r="A487" s="4" t="s">
        <v>125</v>
      </c>
      <c r="B487" s="4"/>
      <c r="C487" s="4" t="s">
        <v>266</v>
      </c>
      <c r="D487" s="4" t="s">
        <v>685</v>
      </c>
      <c r="E487" s="4" t="s">
        <v>806</v>
      </c>
      <c r="F487" s="19">
        <v>46.5</v>
      </c>
      <c r="G487" s="19">
        <v>0</v>
      </c>
      <c r="H487" s="19">
        <f>F487*AE487</f>
        <v>0</v>
      </c>
      <c r="I487" s="19">
        <f>J487-H487</f>
        <v>0</v>
      </c>
      <c r="J487" s="19">
        <f>F487*G487</f>
        <v>0</v>
      </c>
      <c r="K487" s="19">
        <v>0.00032</v>
      </c>
      <c r="L487" s="19">
        <f>F487*K487</f>
        <v>0.01488</v>
      </c>
      <c r="M487" s="32" t="s">
        <v>829</v>
      </c>
      <c r="N487" s="32" t="s">
        <v>9</v>
      </c>
      <c r="O487" s="19">
        <f>IF(N487="5",I487,0)</f>
        <v>0</v>
      </c>
      <c r="Z487" s="19">
        <f>IF(AD487=0,J487,0)</f>
        <v>0</v>
      </c>
      <c r="AA487" s="19">
        <f>IF(AD487=15,J487,0)</f>
        <v>0</v>
      </c>
      <c r="AB487" s="19">
        <f>IF(AD487=21,J487,0)</f>
        <v>0</v>
      </c>
      <c r="AD487" s="36">
        <v>21</v>
      </c>
      <c r="AE487" s="36">
        <f>G487*0.212685446573368</f>
        <v>0</v>
      </c>
      <c r="AF487" s="36">
        <f>G487*(1-0.212685446573368)</f>
        <v>0</v>
      </c>
      <c r="AM487" s="36">
        <f>F487*AE487</f>
        <v>0</v>
      </c>
      <c r="AN487" s="36">
        <f>F487*AF487</f>
        <v>0</v>
      </c>
      <c r="AO487" s="37" t="s">
        <v>855</v>
      </c>
      <c r="AP487" s="37" t="s">
        <v>868</v>
      </c>
      <c r="AQ487" s="29" t="s">
        <v>870</v>
      </c>
    </row>
    <row r="488" spans="4:6" ht="12.75">
      <c r="D488" s="15" t="s">
        <v>686</v>
      </c>
      <c r="F488" s="20">
        <v>5.5</v>
      </c>
    </row>
    <row r="489" spans="4:6" ht="12.75">
      <c r="D489" s="15" t="s">
        <v>687</v>
      </c>
      <c r="F489" s="20">
        <v>5.5</v>
      </c>
    </row>
    <row r="490" spans="4:6" ht="12.75">
      <c r="D490" s="15" t="s">
        <v>688</v>
      </c>
      <c r="F490" s="20">
        <v>5.5</v>
      </c>
    </row>
    <row r="491" spans="4:6" ht="12.75">
      <c r="D491" s="15" t="s">
        <v>689</v>
      </c>
      <c r="F491" s="20">
        <v>5.5</v>
      </c>
    </row>
    <row r="492" spans="4:6" ht="12.75">
      <c r="D492" s="15" t="s">
        <v>690</v>
      </c>
      <c r="F492" s="20">
        <v>5.5</v>
      </c>
    </row>
    <row r="493" spans="4:6" ht="12.75">
      <c r="D493" s="15" t="s">
        <v>691</v>
      </c>
      <c r="F493" s="20">
        <v>5.5</v>
      </c>
    </row>
    <row r="494" spans="4:6" ht="12.75">
      <c r="D494" s="15" t="s">
        <v>692</v>
      </c>
      <c r="F494" s="20">
        <v>6</v>
      </c>
    </row>
    <row r="495" spans="4:6" ht="12.75">
      <c r="D495" s="15" t="s">
        <v>693</v>
      </c>
      <c r="F495" s="20">
        <v>2</v>
      </c>
    </row>
    <row r="496" spans="4:6" ht="12.75">
      <c r="D496" s="15" t="s">
        <v>694</v>
      </c>
      <c r="F496" s="20">
        <v>5.5</v>
      </c>
    </row>
    <row r="497" spans="1:43" ht="12.75">
      <c r="A497" s="4" t="s">
        <v>126</v>
      </c>
      <c r="B497" s="4"/>
      <c r="C497" s="4" t="s">
        <v>266</v>
      </c>
      <c r="D497" s="4" t="s">
        <v>695</v>
      </c>
      <c r="E497" s="4" t="s">
        <v>806</v>
      </c>
      <c r="F497" s="19">
        <v>57.6</v>
      </c>
      <c r="G497" s="19">
        <v>0</v>
      </c>
      <c r="H497" s="19">
        <f>F497*AE497</f>
        <v>0</v>
      </c>
      <c r="I497" s="19">
        <f>J497-H497</f>
        <v>0</v>
      </c>
      <c r="J497" s="19">
        <f>F497*G497</f>
        <v>0</v>
      </c>
      <c r="K497" s="19">
        <v>0.00032</v>
      </c>
      <c r="L497" s="19">
        <f>F497*K497</f>
        <v>0.018432</v>
      </c>
      <c r="M497" s="32" t="s">
        <v>829</v>
      </c>
      <c r="N497" s="32" t="s">
        <v>9</v>
      </c>
      <c r="O497" s="19">
        <f>IF(N497="5",I497,0)</f>
        <v>0</v>
      </c>
      <c r="Z497" s="19">
        <f>IF(AD497=0,J497,0)</f>
        <v>0</v>
      </c>
      <c r="AA497" s="19">
        <f>IF(AD497=15,J497,0)</f>
        <v>0</v>
      </c>
      <c r="AB497" s="19">
        <f>IF(AD497=21,J497,0)</f>
        <v>0</v>
      </c>
      <c r="AD497" s="36">
        <v>21</v>
      </c>
      <c r="AE497" s="36">
        <f>G497*0.212685446573368</f>
        <v>0</v>
      </c>
      <c r="AF497" s="36">
        <f>G497*(1-0.212685446573368)</f>
        <v>0</v>
      </c>
      <c r="AM497" s="36">
        <f>F497*AE497</f>
        <v>0</v>
      </c>
      <c r="AN497" s="36">
        <f>F497*AF497</f>
        <v>0</v>
      </c>
      <c r="AO497" s="37" t="s">
        <v>855</v>
      </c>
      <c r="AP497" s="37" t="s">
        <v>868</v>
      </c>
      <c r="AQ497" s="29" t="s">
        <v>870</v>
      </c>
    </row>
    <row r="498" spans="4:6" ht="12.75">
      <c r="D498" s="15" t="s">
        <v>696</v>
      </c>
      <c r="F498" s="20">
        <v>4.4</v>
      </c>
    </row>
    <row r="499" spans="4:6" ht="12.75">
      <c r="D499" s="15" t="s">
        <v>697</v>
      </c>
      <c r="F499" s="20">
        <v>10.8</v>
      </c>
    </row>
    <row r="500" spans="4:6" ht="12.75">
      <c r="D500" s="15" t="s">
        <v>698</v>
      </c>
      <c r="F500" s="20">
        <v>4.4</v>
      </c>
    </row>
    <row r="501" spans="4:6" ht="12.75">
      <c r="D501" s="15" t="s">
        <v>699</v>
      </c>
      <c r="F501" s="20">
        <v>4</v>
      </c>
    </row>
    <row r="502" spans="4:6" ht="12.75">
      <c r="D502" s="15" t="s">
        <v>700</v>
      </c>
      <c r="F502" s="20">
        <v>4</v>
      </c>
    </row>
    <row r="503" spans="4:6" ht="12.75">
      <c r="D503" s="15" t="s">
        <v>701</v>
      </c>
      <c r="F503" s="20">
        <v>4</v>
      </c>
    </row>
    <row r="504" spans="4:6" ht="12.75">
      <c r="D504" s="15" t="s">
        <v>702</v>
      </c>
      <c r="F504" s="20">
        <v>4</v>
      </c>
    </row>
    <row r="505" spans="4:6" ht="12.75">
      <c r="D505" s="15" t="s">
        <v>703</v>
      </c>
      <c r="F505" s="20">
        <v>4</v>
      </c>
    </row>
    <row r="506" spans="4:6" ht="12.75">
      <c r="D506" s="15" t="s">
        <v>704</v>
      </c>
      <c r="F506" s="20">
        <v>4</v>
      </c>
    </row>
    <row r="507" spans="4:6" ht="12.75">
      <c r="D507" s="15" t="s">
        <v>705</v>
      </c>
      <c r="F507" s="20">
        <v>8</v>
      </c>
    </row>
    <row r="508" spans="4:6" ht="12.75">
      <c r="D508" s="15" t="s">
        <v>693</v>
      </c>
      <c r="F508" s="20">
        <v>2</v>
      </c>
    </row>
    <row r="509" spans="4:6" ht="12.75">
      <c r="D509" s="15" t="s">
        <v>706</v>
      </c>
      <c r="F509" s="20">
        <v>4</v>
      </c>
    </row>
    <row r="510" spans="1:37" ht="12.75">
      <c r="A510" s="5"/>
      <c r="B510" s="13"/>
      <c r="C510" s="13" t="s">
        <v>267</v>
      </c>
      <c r="D510" s="67" t="s">
        <v>707</v>
      </c>
      <c r="E510" s="68"/>
      <c r="F510" s="68"/>
      <c r="G510" s="68"/>
      <c r="H510" s="39">
        <f>SUM(H511:H558)</f>
        <v>0</v>
      </c>
      <c r="I510" s="39">
        <f>SUM(I511:I558)</f>
        <v>0</v>
      </c>
      <c r="J510" s="39">
        <f>H510+I510</f>
        <v>0</v>
      </c>
      <c r="K510" s="29"/>
      <c r="L510" s="39">
        <f>SUM(L511:L558)</f>
        <v>0.44497782</v>
      </c>
      <c r="M510" s="29"/>
      <c r="P510" s="39">
        <f>IF(Q510="PR",J510,SUM(O511:O558))</f>
        <v>0</v>
      </c>
      <c r="Q510" s="29" t="s">
        <v>835</v>
      </c>
      <c r="R510" s="39">
        <f>IF(Q510="HS",H510,0)</f>
        <v>0</v>
      </c>
      <c r="S510" s="39">
        <f>IF(Q510="HS",I510-P510,0)</f>
        <v>0</v>
      </c>
      <c r="T510" s="39">
        <f>IF(Q510="PS",H510,0)</f>
        <v>0</v>
      </c>
      <c r="U510" s="39">
        <f>IF(Q510="PS",I510-P510,0)</f>
        <v>0</v>
      </c>
      <c r="V510" s="39">
        <f>IF(Q510="MP",H510,0)</f>
        <v>0</v>
      </c>
      <c r="W510" s="39">
        <f>IF(Q510="MP",I510-P510,0)</f>
        <v>0</v>
      </c>
      <c r="X510" s="39">
        <f>IF(Q510="OM",H510,0)</f>
        <v>0</v>
      </c>
      <c r="Y510" s="29"/>
      <c r="AI510" s="39">
        <f>SUM(Z511:Z558)</f>
        <v>0</v>
      </c>
      <c r="AJ510" s="39">
        <f>SUM(AA511:AA558)</f>
        <v>0</v>
      </c>
      <c r="AK510" s="39">
        <f>SUM(AB511:AB558)</f>
        <v>0</v>
      </c>
    </row>
    <row r="511" spans="1:43" ht="12.75">
      <c r="A511" s="4" t="s">
        <v>127</v>
      </c>
      <c r="B511" s="4"/>
      <c r="C511" s="4" t="s">
        <v>268</v>
      </c>
      <c r="D511" s="4" t="s">
        <v>708</v>
      </c>
      <c r="E511" s="4" t="s">
        <v>806</v>
      </c>
      <c r="F511" s="19">
        <v>1680.576</v>
      </c>
      <c r="G511" s="19">
        <v>0</v>
      </c>
      <c r="H511" s="19">
        <f>F511*AE511</f>
        <v>0</v>
      </c>
      <c r="I511" s="19">
        <f>J511-H511</f>
        <v>0</v>
      </c>
      <c r="J511" s="19">
        <f>F511*G511</f>
        <v>0</v>
      </c>
      <c r="K511" s="19">
        <v>0</v>
      </c>
      <c r="L511" s="19">
        <f>F511*K511</f>
        <v>0</v>
      </c>
      <c r="M511" s="32" t="s">
        <v>829</v>
      </c>
      <c r="N511" s="32" t="s">
        <v>9</v>
      </c>
      <c r="O511" s="19">
        <f>IF(N511="5",I511,0)</f>
        <v>0</v>
      </c>
      <c r="Z511" s="19">
        <f>IF(AD511=0,J511,0)</f>
        <v>0</v>
      </c>
      <c r="AA511" s="19">
        <f>IF(AD511=15,J511,0)</f>
        <v>0</v>
      </c>
      <c r="AB511" s="19">
        <f>IF(AD511=21,J511,0)</f>
        <v>0</v>
      </c>
      <c r="AD511" s="36">
        <v>21</v>
      </c>
      <c r="AE511" s="36">
        <f>G511*0.00407055630936228</f>
        <v>0</v>
      </c>
      <c r="AF511" s="36">
        <f>G511*(1-0.00407055630936228)</f>
        <v>0</v>
      </c>
      <c r="AM511" s="36">
        <f>F511*AE511</f>
        <v>0</v>
      </c>
      <c r="AN511" s="36">
        <f>F511*AF511</f>
        <v>0</v>
      </c>
      <c r="AO511" s="37" t="s">
        <v>856</v>
      </c>
      <c r="AP511" s="37" t="s">
        <v>868</v>
      </c>
      <c r="AQ511" s="29" t="s">
        <v>870</v>
      </c>
    </row>
    <row r="512" spans="4:6" ht="12.75">
      <c r="D512" s="15" t="s">
        <v>709</v>
      </c>
      <c r="F512" s="20">
        <v>15.78</v>
      </c>
    </row>
    <row r="513" spans="4:6" ht="12.75">
      <c r="D513" s="15" t="s">
        <v>710</v>
      </c>
      <c r="F513" s="20">
        <v>84.306</v>
      </c>
    </row>
    <row r="514" spans="4:6" ht="12.75">
      <c r="D514" s="15" t="s">
        <v>711</v>
      </c>
      <c r="F514" s="20">
        <v>22.89</v>
      </c>
    </row>
    <row r="515" spans="4:6" ht="12.75">
      <c r="D515" s="15" t="s">
        <v>712</v>
      </c>
      <c r="F515" s="20">
        <v>24.4</v>
      </c>
    </row>
    <row r="516" spans="4:6" ht="12.75">
      <c r="D516" s="15" t="s">
        <v>713</v>
      </c>
      <c r="F516" s="20">
        <v>66.04</v>
      </c>
    </row>
    <row r="517" spans="4:6" ht="12.75">
      <c r="D517" s="15" t="s">
        <v>714</v>
      </c>
      <c r="F517" s="20">
        <v>63.29</v>
      </c>
    </row>
    <row r="518" spans="4:6" ht="12.75">
      <c r="D518" s="15" t="s">
        <v>715</v>
      </c>
      <c r="F518" s="20">
        <v>35.25</v>
      </c>
    </row>
    <row r="519" spans="4:6" ht="12.75">
      <c r="D519" s="15" t="s">
        <v>716</v>
      </c>
      <c r="F519" s="20">
        <v>6.725</v>
      </c>
    </row>
    <row r="520" spans="4:6" ht="12.75">
      <c r="D520" s="15" t="s">
        <v>717</v>
      </c>
      <c r="F520" s="20">
        <v>7.475</v>
      </c>
    </row>
    <row r="521" spans="4:6" ht="12.75">
      <c r="D521" s="15" t="s">
        <v>718</v>
      </c>
      <c r="F521" s="20">
        <v>63.29</v>
      </c>
    </row>
    <row r="522" spans="4:6" ht="12.75">
      <c r="D522" s="15" t="s">
        <v>719</v>
      </c>
      <c r="F522" s="20">
        <v>67.24</v>
      </c>
    </row>
    <row r="523" spans="4:6" ht="12.75">
      <c r="D523" s="15" t="s">
        <v>720</v>
      </c>
      <c r="F523" s="20">
        <v>35.25</v>
      </c>
    </row>
    <row r="524" spans="4:6" ht="12.75">
      <c r="D524" s="15" t="s">
        <v>721</v>
      </c>
      <c r="F524" s="20">
        <v>6.725</v>
      </c>
    </row>
    <row r="525" spans="4:6" ht="12.75">
      <c r="D525" s="15" t="s">
        <v>722</v>
      </c>
      <c r="F525" s="20">
        <v>7.475</v>
      </c>
    </row>
    <row r="526" spans="4:6" ht="12.75">
      <c r="D526" s="15" t="s">
        <v>723</v>
      </c>
      <c r="F526" s="20">
        <v>67.24</v>
      </c>
    </row>
    <row r="527" spans="4:6" ht="12.75">
      <c r="D527" s="15" t="s">
        <v>724</v>
      </c>
      <c r="F527" s="20">
        <v>63.29</v>
      </c>
    </row>
    <row r="528" spans="4:6" ht="12.75">
      <c r="D528" s="15" t="s">
        <v>720</v>
      </c>
      <c r="F528" s="20">
        <v>35.25</v>
      </c>
    </row>
    <row r="529" spans="4:6" ht="12.75">
      <c r="D529" s="15" t="s">
        <v>721</v>
      </c>
      <c r="F529" s="20">
        <v>6.725</v>
      </c>
    </row>
    <row r="530" spans="4:6" ht="12.75">
      <c r="D530" s="15" t="s">
        <v>722</v>
      </c>
      <c r="F530" s="20">
        <v>7.475</v>
      </c>
    </row>
    <row r="531" spans="4:6" ht="12.75">
      <c r="D531" s="15" t="s">
        <v>725</v>
      </c>
      <c r="F531" s="20">
        <v>63.29</v>
      </c>
    </row>
    <row r="532" spans="4:6" ht="12.75">
      <c r="D532" s="15" t="s">
        <v>726</v>
      </c>
      <c r="F532" s="20">
        <v>67.24</v>
      </c>
    </row>
    <row r="533" spans="4:6" ht="12.75">
      <c r="D533" s="15" t="s">
        <v>720</v>
      </c>
      <c r="F533" s="20">
        <v>35.25</v>
      </c>
    </row>
    <row r="534" spans="4:6" ht="12.75">
      <c r="D534" s="15" t="s">
        <v>721</v>
      </c>
      <c r="F534" s="20">
        <v>6.725</v>
      </c>
    </row>
    <row r="535" spans="4:6" ht="12.75">
      <c r="D535" s="15" t="s">
        <v>722</v>
      </c>
      <c r="F535" s="20">
        <v>7.475</v>
      </c>
    </row>
    <row r="536" spans="4:6" ht="12.75">
      <c r="D536" s="15" t="s">
        <v>727</v>
      </c>
      <c r="F536" s="20">
        <v>67.24</v>
      </c>
    </row>
    <row r="537" spans="4:6" ht="12.75">
      <c r="D537" s="15" t="s">
        <v>728</v>
      </c>
      <c r="F537" s="20">
        <v>63.29</v>
      </c>
    </row>
    <row r="538" spans="4:6" ht="12.75">
      <c r="D538" s="15" t="s">
        <v>720</v>
      </c>
      <c r="F538" s="20">
        <v>35.25</v>
      </c>
    </row>
    <row r="539" spans="4:6" ht="12.75">
      <c r="D539" s="15" t="s">
        <v>721</v>
      </c>
      <c r="F539" s="20">
        <v>6.725</v>
      </c>
    </row>
    <row r="540" spans="4:6" ht="12.75">
      <c r="D540" s="15" t="s">
        <v>722</v>
      </c>
      <c r="F540" s="20">
        <v>7.475</v>
      </c>
    </row>
    <row r="541" spans="4:6" ht="12.75">
      <c r="D541" s="15" t="s">
        <v>729</v>
      </c>
      <c r="F541" s="20">
        <v>63.29</v>
      </c>
    </row>
    <row r="542" spans="4:6" ht="12.75">
      <c r="D542" s="15" t="s">
        <v>730</v>
      </c>
      <c r="F542" s="20">
        <v>67.24</v>
      </c>
    </row>
    <row r="543" spans="4:6" ht="12.75">
      <c r="D543" s="15" t="s">
        <v>720</v>
      </c>
      <c r="F543" s="20">
        <v>35.25</v>
      </c>
    </row>
    <row r="544" spans="4:6" ht="12.75">
      <c r="D544" s="15" t="s">
        <v>721</v>
      </c>
      <c r="F544" s="20">
        <v>6.725</v>
      </c>
    </row>
    <row r="545" spans="4:6" ht="12.75">
      <c r="D545" s="15" t="s">
        <v>722</v>
      </c>
      <c r="F545" s="20">
        <v>7.475</v>
      </c>
    </row>
    <row r="546" spans="4:6" ht="12.75">
      <c r="D546" s="15" t="s">
        <v>731</v>
      </c>
      <c r="F546" s="20">
        <v>168.17</v>
      </c>
    </row>
    <row r="547" spans="4:6" ht="12.75">
      <c r="D547" s="15" t="s">
        <v>732</v>
      </c>
      <c r="F547" s="20">
        <v>60.54</v>
      </c>
    </row>
    <row r="548" spans="4:6" ht="12.75">
      <c r="D548" s="15" t="s">
        <v>733</v>
      </c>
      <c r="F548" s="20">
        <v>25.2</v>
      </c>
    </row>
    <row r="549" spans="4:6" ht="12.75">
      <c r="D549" s="15" t="s">
        <v>734</v>
      </c>
      <c r="F549" s="20">
        <v>11.675</v>
      </c>
    </row>
    <row r="550" spans="4:6" ht="12.75">
      <c r="D550" s="15" t="s">
        <v>735</v>
      </c>
      <c r="F550" s="20">
        <v>6.22</v>
      </c>
    </row>
    <row r="551" spans="4:6" ht="12.75">
      <c r="D551" s="15" t="s">
        <v>736</v>
      </c>
      <c r="F551" s="20">
        <v>12.64</v>
      </c>
    </row>
    <row r="552" spans="4:6" ht="12.75">
      <c r="D552" s="15" t="s">
        <v>737</v>
      </c>
      <c r="F552" s="20">
        <v>44.6</v>
      </c>
    </row>
    <row r="553" spans="4:6" ht="12.75">
      <c r="D553" s="15" t="s">
        <v>738</v>
      </c>
      <c r="F553" s="20">
        <v>45.9</v>
      </c>
    </row>
    <row r="554" spans="4:6" ht="12.75">
      <c r="D554" s="15" t="s">
        <v>739</v>
      </c>
      <c r="F554" s="20">
        <v>54.9</v>
      </c>
    </row>
    <row r="555" spans="4:6" ht="12.75">
      <c r="D555" s="15" t="s">
        <v>740</v>
      </c>
      <c r="F555" s="20">
        <v>7.275</v>
      </c>
    </row>
    <row r="556" spans="4:6" ht="12.75">
      <c r="D556" s="15" t="s">
        <v>741</v>
      </c>
      <c r="F556" s="20">
        <v>8.7</v>
      </c>
    </row>
    <row r="557" spans="4:6" ht="12.75">
      <c r="D557" s="15" t="s">
        <v>741</v>
      </c>
      <c r="F557" s="20">
        <v>8.7</v>
      </c>
    </row>
    <row r="558" spans="1:43" ht="12.75">
      <c r="A558" s="4" t="s">
        <v>128</v>
      </c>
      <c r="B558" s="4"/>
      <c r="C558" s="4" t="s">
        <v>269</v>
      </c>
      <c r="D558" s="4" t="s">
        <v>742</v>
      </c>
      <c r="E558" s="4" t="s">
        <v>806</v>
      </c>
      <c r="F558" s="19">
        <v>1648.066</v>
      </c>
      <c r="G558" s="19">
        <v>0</v>
      </c>
      <c r="H558" s="19">
        <f>F558*AE558</f>
        <v>0</v>
      </c>
      <c r="I558" s="19">
        <f>J558-H558</f>
        <v>0</v>
      </c>
      <c r="J558" s="19">
        <f>F558*G558</f>
        <v>0</v>
      </c>
      <c r="K558" s="19">
        <v>0.00027</v>
      </c>
      <c r="L558" s="19">
        <f>F558*K558</f>
        <v>0.44497782</v>
      </c>
      <c r="M558" s="32" t="s">
        <v>829</v>
      </c>
      <c r="N558" s="32" t="s">
        <v>7</v>
      </c>
      <c r="O558" s="19">
        <f>IF(N558="5",I558,0)</f>
        <v>0</v>
      </c>
      <c r="Z558" s="19">
        <f>IF(AD558=0,J558,0)</f>
        <v>0</v>
      </c>
      <c r="AA558" s="19">
        <f>IF(AD558=15,J558,0)</f>
        <v>0</v>
      </c>
      <c r="AB558" s="19">
        <f>IF(AD558=21,J558,0)</f>
        <v>0</v>
      </c>
      <c r="AD558" s="36">
        <v>21</v>
      </c>
      <c r="AE558" s="36">
        <f>G558*0.1</f>
        <v>0</v>
      </c>
      <c r="AF558" s="36">
        <f>G558*(1-0.1)</f>
        <v>0</v>
      </c>
      <c r="AM558" s="36">
        <f>F558*AE558</f>
        <v>0</v>
      </c>
      <c r="AN558" s="36">
        <f>F558*AF558</f>
        <v>0</v>
      </c>
      <c r="AO558" s="37" t="s">
        <v>856</v>
      </c>
      <c r="AP558" s="37" t="s">
        <v>868</v>
      </c>
      <c r="AQ558" s="29" t="s">
        <v>870</v>
      </c>
    </row>
    <row r="559" spans="4:6" ht="12.75">
      <c r="D559" s="15" t="s">
        <v>743</v>
      </c>
      <c r="F559" s="20">
        <v>1680.576</v>
      </c>
    </row>
    <row r="560" spans="4:6" ht="12.75">
      <c r="D560" s="15" t="s">
        <v>744</v>
      </c>
      <c r="F560" s="20">
        <v>179.555</v>
      </c>
    </row>
    <row r="561" spans="4:6" ht="12.75">
      <c r="D561" s="15" t="s">
        <v>745</v>
      </c>
      <c r="F561" s="20">
        <v>-212.065</v>
      </c>
    </row>
    <row r="562" spans="1:37" ht="12.75">
      <c r="A562" s="5"/>
      <c r="B562" s="13"/>
      <c r="C562" s="13" t="s">
        <v>100</v>
      </c>
      <c r="D562" s="67" t="s">
        <v>746</v>
      </c>
      <c r="E562" s="68"/>
      <c r="F562" s="68"/>
      <c r="G562" s="68"/>
      <c r="H562" s="39">
        <f>SUM(H563:H563)</f>
        <v>0</v>
      </c>
      <c r="I562" s="39">
        <f>SUM(I563:I563)</f>
        <v>0</v>
      </c>
      <c r="J562" s="39">
        <f>H562+I562</f>
        <v>0</v>
      </c>
      <c r="K562" s="29"/>
      <c r="L562" s="39">
        <f>SUM(L563:L563)</f>
        <v>0.645777</v>
      </c>
      <c r="M562" s="29"/>
      <c r="P562" s="39">
        <f>IF(Q562="PR",J562,SUM(O563:O563))</f>
        <v>0</v>
      </c>
      <c r="Q562" s="29" t="s">
        <v>834</v>
      </c>
      <c r="R562" s="39">
        <f>IF(Q562="HS",H562,0)</f>
        <v>0</v>
      </c>
      <c r="S562" s="39">
        <f>IF(Q562="HS",I562-P562,0)</f>
        <v>0</v>
      </c>
      <c r="T562" s="39">
        <f>IF(Q562="PS",H562,0)</f>
        <v>0</v>
      </c>
      <c r="U562" s="39">
        <f>IF(Q562="PS",I562-P562,0)</f>
        <v>0</v>
      </c>
      <c r="V562" s="39">
        <f>IF(Q562="MP",H562,0)</f>
        <v>0</v>
      </c>
      <c r="W562" s="39">
        <f>IF(Q562="MP",I562-P562,0)</f>
        <v>0</v>
      </c>
      <c r="X562" s="39">
        <f>IF(Q562="OM",H562,0)</f>
        <v>0</v>
      </c>
      <c r="Y562" s="29"/>
      <c r="AI562" s="39">
        <f>SUM(Z563:Z563)</f>
        <v>0</v>
      </c>
      <c r="AJ562" s="39">
        <f>SUM(AA563:AA563)</f>
        <v>0</v>
      </c>
      <c r="AK562" s="39">
        <f>SUM(AB563:AB563)</f>
        <v>0</v>
      </c>
    </row>
    <row r="563" spans="1:43" ht="12.75">
      <c r="A563" s="4" t="s">
        <v>129</v>
      </c>
      <c r="B563" s="4"/>
      <c r="C563" s="4" t="s">
        <v>270</v>
      </c>
      <c r="D563" s="4" t="s">
        <v>747</v>
      </c>
      <c r="E563" s="4" t="s">
        <v>806</v>
      </c>
      <c r="F563" s="19">
        <v>533.7</v>
      </c>
      <c r="G563" s="19">
        <v>0</v>
      </c>
      <c r="H563" s="19">
        <f>F563*AE563</f>
        <v>0</v>
      </c>
      <c r="I563" s="19">
        <f>J563-H563</f>
        <v>0</v>
      </c>
      <c r="J563" s="19">
        <f>F563*G563</f>
        <v>0</v>
      </c>
      <c r="K563" s="19">
        <v>0.00121</v>
      </c>
      <c r="L563" s="19">
        <f>F563*K563</f>
        <v>0.645777</v>
      </c>
      <c r="M563" s="32" t="s">
        <v>829</v>
      </c>
      <c r="N563" s="32" t="s">
        <v>7</v>
      </c>
      <c r="O563" s="19">
        <f>IF(N563="5",I563,0)</f>
        <v>0</v>
      </c>
      <c r="Z563" s="19">
        <f>IF(AD563=0,J563,0)</f>
        <v>0</v>
      </c>
      <c r="AA563" s="19">
        <f>IF(AD563=15,J563,0)</f>
        <v>0</v>
      </c>
      <c r="AB563" s="19">
        <f>IF(AD563=21,J563,0)</f>
        <v>0</v>
      </c>
      <c r="AD563" s="36">
        <v>21</v>
      </c>
      <c r="AE563" s="36">
        <f>G563*0.420365853658537</f>
        <v>0</v>
      </c>
      <c r="AF563" s="36">
        <f>G563*(1-0.420365853658537)</f>
        <v>0</v>
      </c>
      <c r="AM563" s="36">
        <f>F563*AE563</f>
        <v>0</v>
      </c>
      <c r="AN563" s="36">
        <f>F563*AF563</f>
        <v>0</v>
      </c>
      <c r="AO563" s="37" t="s">
        <v>857</v>
      </c>
      <c r="AP563" s="37" t="s">
        <v>869</v>
      </c>
      <c r="AQ563" s="29" t="s">
        <v>870</v>
      </c>
    </row>
    <row r="564" spans="4:6" ht="12.75">
      <c r="D564" s="15" t="s">
        <v>748</v>
      </c>
      <c r="F564" s="20">
        <v>471.2</v>
      </c>
    </row>
    <row r="565" spans="4:6" ht="12.75">
      <c r="D565" s="15" t="s">
        <v>749</v>
      </c>
      <c r="F565" s="20">
        <v>62.5</v>
      </c>
    </row>
    <row r="566" spans="1:37" ht="12.75">
      <c r="A566" s="5"/>
      <c r="B566" s="13"/>
      <c r="C566" s="13" t="s">
        <v>101</v>
      </c>
      <c r="D566" s="67" t="s">
        <v>750</v>
      </c>
      <c r="E566" s="68"/>
      <c r="F566" s="68"/>
      <c r="G566" s="68"/>
      <c r="H566" s="39">
        <f>SUM(H567:H567)</f>
        <v>0</v>
      </c>
      <c r="I566" s="39">
        <f>SUM(I567:I567)</f>
        <v>0</v>
      </c>
      <c r="J566" s="39">
        <f>H566+I566</f>
        <v>0</v>
      </c>
      <c r="K566" s="29"/>
      <c r="L566" s="39">
        <f>SUM(L567:L567)</f>
        <v>0.021348000000000002</v>
      </c>
      <c r="M566" s="29"/>
      <c r="P566" s="39">
        <f>IF(Q566="PR",J566,SUM(O567:O567))</f>
        <v>0</v>
      </c>
      <c r="Q566" s="29" t="s">
        <v>834</v>
      </c>
      <c r="R566" s="39">
        <f>IF(Q566="HS",H566,0)</f>
        <v>0</v>
      </c>
      <c r="S566" s="39">
        <f>IF(Q566="HS",I566-P566,0)</f>
        <v>0</v>
      </c>
      <c r="T566" s="39">
        <f>IF(Q566="PS",H566,0)</f>
        <v>0</v>
      </c>
      <c r="U566" s="39">
        <f>IF(Q566="PS",I566-P566,0)</f>
        <v>0</v>
      </c>
      <c r="V566" s="39">
        <f>IF(Q566="MP",H566,0)</f>
        <v>0</v>
      </c>
      <c r="W566" s="39">
        <f>IF(Q566="MP",I566-P566,0)</f>
        <v>0</v>
      </c>
      <c r="X566" s="39">
        <f>IF(Q566="OM",H566,0)</f>
        <v>0</v>
      </c>
      <c r="Y566" s="29"/>
      <c r="AI566" s="39">
        <f>SUM(Z567:Z567)</f>
        <v>0</v>
      </c>
      <c r="AJ566" s="39">
        <f>SUM(AA567:AA567)</f>
        <v>0</v>
      </c>
      <c r="AK566" s="39">
        <f>SUM(AB567:AB567)</f>
        <v>0</v>
      </c>
    </row>
    <row r="567" spans="1:43" ht="12.75">
      <c r="A567" s="4" t="s">
        <v>130</v>
      </c>
      <c r="B567" s="4"/>
      <c r="C567" s="4" t="s">
        <v>271</v>
      </c>
      <c r="D567" s="4" t="s">
        <v>751</v>
      </c>
      <c r="E567" s="4" t="s">
        <v>806</v>
      </c>
      <c r="F567" s="19">
        <v>533.7</v>
      </c>
      <c r="G567" s="19">
        <v>0</v>
      </c>
      <c r="H567" s="19">
        <f>F567*AE567</f>
        <v>0</v>
      </c>
      <c r="I567" s="19">
        <f>J567-H567</f>
        <v>0</v>
      </c>
      <c r="J567" s="19">
        <f>F567*G567</f>
        <v>0</v>
      </c>
      <c r="K567" s="19">
        <v>4E-05</v>
      </c>
      <c r="L567" s="19">
        <f>F567*K567</f>
        <v>0.021348000000000002</v>
      </c>
      <c r="M567" s="32" t="s">
        <v>829</v>
      </c>
      <c r="N567" s="32" t="s">
        <v>7</v>
      </c>
      <c r="O567" s="19">
        <f>IF(N567="5",I567,0)</f>
        <v>0</v>
      </c>
      <c r="Z567" s="19">
        <f>IF(AD567=0,J567,0)</f>
        <v>0</v>
      </c>
      <c r="AA567" s="19">
        <f>IF(AD567=15,J567,0)</f>
        <v>0</v>
      </c>
      <c r="AB567" s="19">
        <f>IF(AD567=21,J567,0)</f>
        <v>0</v>
      </c>
      <c r="AD567" s="36">
        <v>21</v>
      </c>
      <c r="AE567" s="36">
        <f>G567*0.0183098591549296</f>
        <v>0</v>
      </c>
      <c r="AF567" s="36">
        <f>G567*(1-0.0183098591549296)</f>
        <v>0</v>
      </c>
      <c r="AM567" s="36">
        <f>F567*AE567</f>
        <v>0</v>
      </c>
      <c r="AN567" s="36">
        <f>F567*AF567</f>
        <v>0</v>
      </c>
      <c r="AO567" s="37" t="s">
        <v>858</v>
      </c>
      <c r="AP567" s="37" t="s">
        <v>869</v>
      </c>
      <c r="AQ567" s="29" t="s">
        <v>870</v>
      </c>
    </row>
    <row r="568" spans="4:6" ht="12.75">
      <c r="D568" s="15" t="s">
        <v>752</v>
      </c>
      <c r="F568" s="20">
        <v>533.7</v>
      </c>
    </row>
    <row r="569" spans="1:37" ht="12.75">
      <c r="A569" s="5"/>
      <c r="B569" s="13"/>
      <c r="C569" s="13" t="s">
        <v>102</v>
      </c>
      <c r="D569" s="67" t="s">
        <v>753</v>
      </c>
      <c r="E569" s="68"/>
      <c r="F569" s="68"/>
      <c r="G569" s="68"/>
      <c r="H569" s="39">
        <f>SUM(H570:H570)</f>
        <v>0</v>
      </c>
      <c r="I569" s="39">
        <f>SUM(I570:I570)</f>
        <v>0</v>
      </c>
      <c r="J569" s="39">
        <f>H569+I569</f>
        <v>0</v>
      </c>
      <c r="K569" s="29"/>
      <c r="L569" s="39">
        <f>SUM(L570:L570)</f>
        <v>0.848</v>
      </c>
      <c r="M569" s="29"/>
      <c r="P569" s="39">
        <f>IF(Q569="PR",J569,SUM(O570:O570))</f>
        <v>0</v>
      </c>
      <c r="Q569" s="29" t="s">
        <v>834</v>
      </c>
      <c r="R569" s="39">
        <f>IF(Q569="HS",H569,0)</f>
        <v>0</v>
      </c>
      <c r="S569" s="39">
        <f>IF(Q569="HS",I569-P569,0)</f>
        <v>0</v>
      </c>
      <c r="T569" s="39">
        <f>IF(Q569="PS",H569,0)</f>
        <v>0</v>
      </c>
      <c r="U569" s="39">
        <f>IF(Q569="PS",I569-P569,0)</f>
        <v>0</v>
      </c>
      <c r="V569" s="39">
        <f>IF(Q569="MP",H569,0)</f>
        <v>0</v>
      </c>
      <c r="W569" s="39">
        <f>IF(Q569="MP",I569-P569,0)</f>
        <v>0</v>
      </c>
      <c r="X569" s="39">
        <f>IF(Q569="OM",H569,0)</f>
        <v>0</v>
      </c>
      <c r="Y569" s="29"/>
      <c r="AI569" s="39">
        <f>SUM(Z570:Z570)</f>
        <v>0</v>
      </c>
      <c r="AJ569" s="39">
        <f>SUM(AA570:AA570)</f>
        <v>0</v>
      </c>
      <c r="AK569" s="39">
        <f>SUM(AB570:AB570)</f>
        <v>0</v>
      </c>
    </row>
    <row r="570" spans="1:43" ht="12.75">
      <c r="A570" s="4" t="s">
        <v>131</v>
      </c>
      <c r="B570" s="4"/>
      <c r="C570" s="4" t="s">
        <v>272</v>
      </c>
      <c r="D570" s="4" t="s">
        <v>754</v>
      </c>
      <c r="E570" s="4" t="s">
        <v>806</v>
      </c>
      <c r="F570" s="19">
        <v>42.4</v>
      </c>
      <c r="G570" s="19">
        <v>0</v>
      </c>
      <c r="H570" s="19">
        <f>F570*AE570</f>
        <v>0</v>
      </c>
      <c r="I570" s="19">
        <f>J570-H570</f>
        <v>0</v>
      </c>
      <c r="J570" s="19">
        <f>F570*G570</f>
        <v>0</v>
      </c>
      <c r="K570" s="19">
        <v>0.02</v>
      </c>
      <c r="L570" s="19">
        <f>F570*K570</f>
        <v>0.848</v>
      </c>
      <c r="M570" s="32" t="s">
        <v>829</v>
      </c>
      <c r="N570" s="32" t="s">
        <v>7</v>
      </c>
      <c r="O570" s="19">
        <f>IF(N570="5",I570,0)</f>
        <v>0</v>
      </c>
      <c r="Z570" s="19">
        <f>IF(AD570=0,J570,0)</f>
        <v>0</v>
      </c>
      <c r="AA570" s="19">
        <f>IF(AD570=15,J570,0)</f>
        <v>0</v>
      </c>
      <c r="AB570" s="19">
        <f>IF(AD570=21,J570,0)</f>
        <v>0</v>
      </c>
      <c r="AD570" s="36">
        <v>21</v>
      </c>
      <c r="AE570" s="36">
        <f>G570*0</f>
        <v>0</v>
      </c>
      <c r="AF570" s="36">
        <f>G570*(1-0)</f>
        <v>0</v>
      </c>
      <c r="AM570" s="36">
        <f>F570*AE570</f>
        <v>0</v>
      </c>
      <c r="AN570" s="36">
        <f>F570*AF570</f>
        <v>0</v>
      </c>
      <c r="AO570" s="37" t="s">
        <v>859</v>
      </c>
      <c r="AP570" s="37" t="s">
        <v>869</v>
      </c>
      <c r="AQ570" s="29" t="s">
        <v>870</v>
      </c>
    </row>
    <row r="571" spans="4:6" ht="12.75">
      <c r="D571" s="15" t="s">
        <v>755</v>
      </c>
      <c r="F571" s="20">
        <v>5</v>
      </c>
    </row>
    <row r="572" spans="4:6" ht="12.75">
      <c r="D572" s="15" t="s">
        <v>756</v>
      </c>
      <c r="F572" s="20">
        <v>5</v>
      </c>
    </row>
    <row r="573" spans="4:6" ht="12.75">
      <c r="D573" s="15" t="s">
        <v>757</v>
      </c>
      <c r="F573" s="20">
        <v>5</v>
      </c>
    </row>
    <row r="574" spans="4:6" ht="12.75">
      <c r="D574" s="15" t="s">
        <v>758</v>
      </c>
      <c r="F574" s="20">
        <v>5</v>
      </c>
    </row>
    <row r="575" spans="4:6" ht="12.75">
      <c r="D575" s="15" t="s">
        <v>759</v>
      </c>
      <c r="F575" s="20">
        <v>5</v>
      </c>
    </row>
    <row r="576" spans="4:6" ht="12.75">
      <c r="D576" s="15" t="s">
        <v>760</v>
      </c>
      <c r="F576" s="20">
        <v>5</v>
      </c>
    </row>
    <row r="577" spans="4:6" ht="12.75">
      <c r="D577" s="15" t="s">
        <v>761</v>
      </c>
      <c r="F577" s="20">
        <v>6.85</v>
      </c>
    </row>
    <row r="578" spans="4:6" ht="12.75">
      <c r="D578" s="15" t="s">
        <v>762</v>
      </c>
      <c r="F578" s="20">
        <v>5.55</v>
      </c>
    </row>
    <row r="579" spans="1:37" ht="12.75">
      <c r="A579" s="5"/>
      <c r="B579" s="13"/>
      <c r="C579" s="13" t="s">
        <v>103</v>
      </c>
      <c r="D579" s="67" t="s">
        <v>763</v>
      </c>
      <c r="E579" s="68"/>
      <c r="F579" s="68"/>
      <c r="G579" s="68"/>
      <c r="H579" s="39">
        <f>SUM(H580:H617)</f>
        <v>0</v>
      </c>
      <c r="I579" s="39">
        <f>SUM(I580:I617)</f>
        <v>0</v>
      </c>
      <c r="J579" s="39">
        <f>H579+I579</f>
        <v>0</v>
      </c>
      <c r="K579" s="29"/>
      <c r="L579" s="39">
        <f>SUM(L580:L617)</f>
        <v>14.10832</v>
      </c>
      <c r="M579" s="29"/>
      <c r="P579" s="39">
        <f>IF(Q579="PR",J579,SUM(O580:O617))</f>
        <v>0</v>
      </c>
      <c r="Q579" s="29" t="s">
        <v>834</v>
      </c>
      <c r="R579" s="39">
        <f>IF(Q579="HS",H579,0)</f>
        <v>0</v>
      </c>
      <c r="S579" s="39">
        <f>IF(Q579="HS",I579-P579,0)</f>
        <v>0</v>
      </c>
      <c r="T579" s="39">
        <f>IF(Q579="PS",H579,0)</f>
        <v>0</v>
      </c>
      <c r="U579" s="39">
        <f>IF(Q579="PS",I579-P579,0)</f>
        <v>0</v>
      </c>
      <c r="V579" s="39">
        <f>IF(Q579="MP",H579,0)</f>
        <v>0</v>
      </c>
      <c r="W579" s="39">
        <f>IF(Q579="MP",I579-P579,0)</f>
        <v>0</v>
      </c>
      <c r="X579" s="39">
        <f>IF(Q579="OM",H579,0)</f>
        <v>0</v>
      </c>
      <c r="Y579" s="29"/>
      <c r="AI579" s="39">
        <f>SUM(Z580:Z617)</f>
        <v>0</v>
      </c>
      <c r="AJ579" s="39">
        <f>SUM(AA580:AA617)</f>
        <v>0</v>
      </c>
      <c r="AK579" s="39">
        <f>SUM(AB580:AB617)</f>
        <v>0</v>
      </c>
    </row>
    <row r="580" spans="1:43" ht="12.75">
      <c r="A580" s="4" t="s">
        <v>132</v>
      </c>
      <c r="B580" s="4"/>
      <c r="C580" s="4" t="s">
        <v>273</v>
      </c>
      <c r="D580" s="4" t="s">
        <v>764</v>
      </c>
      <c r="E580" s="4" t="s">
        <v>805</v>
      </c>
      <c r="F580" s="19">
        <v>42</v>
      </c>
      <c r="G580" s="19">
        <v>0</v>
      </c>
      <c r="H580" s="19">
        <f>F580*AE580</f>
        <v>0</v>
      </c>
      <c r="I580" s="19">
        <f>J580-H580</f>
        <v>0</v>
      </c>
      <c r="J580" s="19">
        <f>F580*G580</f>
        <v>0</v>
      </c>
      <c r="K580" s="19">
        <v>0</v>
      </c>
      <c r="L580" s="19">
        <f>F580*K580</f>
        <v>0</v>
      </c>
      <c r="M580" s="32" t="s">
        <v>829</v>
      </c>
      <c r="N580" s="32" t="s">
        <v>7</v>
      </c>
      <c r="O580" s="19">
        <f>IF(N580="5",I580,0)</f>
        <v>0</v>
      </c>
      <c r="Z580" s="19">
        <f>IF(AD580=0,J580,0)</f>
        <v>0</v>
      </c>
      <c r="AA580" s="19">
        <f>IF(AD580=15,J580,0)</f>
        <v>0</v>
      </c>
      <c r="AB580" s="19">
        <f>IF(AD580=21,J580,0)</f>
        <v>0</v>
      </c>
      <c r="AD580" s="36">
        <v>21</v>
      </c>
      <c r="AE580" s="36">
        <f>G580*0</f>
        <v>0</v>
      </c>
      <c r="AF580" s="36">
        <f>G580*(1-0)</f>
        <v>0</v>
      </c>
      <c r="AM580" s="36">
        <f>F580*AE580</f>
        <v>0</v>
      </c>
      <c r="AN580" s="36">
        <f>F580*AF580</f>
        <v>0</v>
      </c>
      <c r="AO580" s="37" t="s">
        <v>860</v>
      </c>
      <c r="AP580" s="37" t="s">
        <v>869</v>
      </c>
      <c r="AQ580" s="29" t="s">
        <v>870</v>
      </c>
    </row>
    <row r="581" spans="4:6" ht="12.75">
      <c r="D581" s="15" t="s">
        <v>499</v>
      </c>
      <c r="F581" s="20">
        <v>1</v>
      </c>
    </row>
    <row r="582" spans="4:6" ht="12.75">
      <c r="D582" s="15" t="s">
        <v>500</v>
      </c>
      <c r="F582" s="20">
        <v>5</v>
      </c>
    </row>
    <row r="583" spans="4:6" ht="12.75">
      <c r="D583" s="15" t="s">
        <v>501</v>
      </c>
      <c r="F583" s="20">
        <v>5</v>
      </c>
    </row>
    <row r="584" spans="4:6" ht="12.75">
      <c r="D584" s="15" t="s">
        <v>502</v>
      </c>
      <c r="F584" s="20">
        <v>5</v>
      </c>
    </row>
    <row r="585" spans="4:6" ht="12.75">
      <c r="D585" s="15" t="s">
        <v>503</v>
      </c>
      <c r="F585" s="20">
        <v>5</v>
      </c>
    </row>
    <row r="586" spans="4:6" ht="12.75">
      <c r="D586" s="15" t="s">
        <v>504</v>
      </c>
      <c r="F586" s="20">
        <v>5</v>
      </c>
    </row>
    <row r="587" spans="4:6" ht="12.75">
      <c r="D587" s="15" t="s">
        <v>505</v>
      </c>
      <c r="F587" s="20">
        <v>5</v>
      </c>
    </row>
    <row r="588" spans="4:6" ht="12.75">
      <c r="D588" s="15" t="s">
        <v>506</v>
      </c>
      <c r="F588" s="20">
        <v>1</v>
      </c>
    </row>
    <row r="589" spans="4:6" ht="12.75">
      <c r="D589" s="15" t="s">
        <v>507</v>
      </c>
      <c r="F589" s="20">
        <v>5</v>
      </c>
    </row>
    <row r="590" spans="4:6" ht="12.75">
      <c r="D590" s="15" t="s">
        <v>508</v>
      </c>
      <c r="F590" s="20">
        <v>5</v>
      </c>
    </row>
    <row r="591" spans="1:43" ht="12.75">
      <c r="A591" s="4" t="s">
        <v>133</v>
      </c>
      <c r="B591" s="4"/>
      <c r="C591" s="4" t="s">
        <v>274</v>
      </c>
      <c r="D591" s="4" t="s">
        <v>765</v>
      </c>
      <c r="E591" s="4" t="s">
        <v>806</v>
      </c>
      <c r="F591" s="19">
        <v>16.5</v>
      </c>
      <c r="G591" s="19">
        <v>0</v>
      </c>
      <c r="H591" s="19">
        <f>F591*AE591</f>
        <v>0</v>
      </c>
      <c r="I591" s="19">
        <f>J591-H591</f>
        <v>0</v>
      </c>
      <c r="J591" s="19">
        <f>F591*G591</f>
        <v>0</v>
      </c>
      <c r="K591" s="19">
        <v>0.068</v>
      </c>
      <c r="L591" s="19">
        <f>F591*K591</f>
        <v>1.122</v>
      </c>
      <c r="M591" s="32" t="s">
        <v>829</v>
      </c>
      <c r="N591" s="32" t="s">
        <v>7</v>
      </c>
      <c r="O591" s="19">
        <f>IF(N591="5",I591,0)</f>
        <v>0</v>
      </c>
      <c r="Z591" s="19">
        <f>IF(AD591=0,J591,0)</f>
        <v>0</v>
      </c>
      <c r="AA591" s="19">
        <f>IF(AD591=15,J591,0)</f>
        <v>0</v>
      </c>
      <c r="AB591" s="19">
        <f>IF(AD591=21,J591,0)</f>
        <v>0</v>
      </c>
      <c r="AD591" s="36">
        <v>21</v>
      </c>
      <c r="AE591" s="36">
        <f>G591*0</f>
        <v>0</v>
      </c>
      <c r="AF591" s="36">
        <f>G591*(1-0)</f>
        <v>0</v>
      </c>
      <c r="AM591" s="36">
        <f>F591*AE591</f>
        <v>0</v>
      </c>
      <c r="AN591" s="36">
        <f>F591*AF591</f>
        <v>0</v>
      </c>
      <c r="AO591" s="37" t="s">
        <v>860</v>
      </c>
      <c r="AP591" s="37" t="s">
        <v>869</v>
      </c>
      <c r="AQ591" s="29" t="s">
        <v>870</v>
      </c>
    </row>
    <row r="592" spans="4:6" ht="12.75">
      <c r="D592" s="15" t="s">
        <v>766</v>
      </c>
      <c r="F592" s="20">
        <v>1.05</v>
      </c>
    </row>
    <row r="593" spans="4:6" ht="12.75">
      <c r="D593" s="15" t="s">
        <v>767</v>
      </c>
      <c r="F593" s="20">
        <v>1.05</v>
      </c>
    </row>
    <row r="594" spans="4:6" ht="12.75">
      <c r="D594" s="15" t="s">
        <v>768</v>
      </c>
      <c r="F594" s="20">
        <v>2.4</v>
      </c>
    </row>
    <row r="595" spans="4:6" ht="12.75">
      <c r="D595" s="15" t="s">
        <v>769</v>
      </c>
      <c r="F595" s="20">
        <v>2.4</v>
      </c>
    </row>
    <row r="596" spans="4:6" ht="12.75">
      <c r="D596" s="15" t="s">
        <v>770</v>
      </c>
      <c r="F596" s="20">
        <v>2.4</v>
      </c>
    </row>
    <row r="597" spans="4:6" ht="12.75">
      <c r="D597" s="15" t="s">
        <v>771</v>
      </c>
      <c r="F597" s="20">
        <v>2.4</v>
      </c>
    </row>
    <row r="598" spans="4:6" ht="12.75">
      <c r="D598" s="15" t="s">
        <v>772</v>
      </c>
      <c r="F598" s="20">
        <v>2.4</v>
      </c>
    </row>
    <row r="599" spans="4:6" ht="12.75">
      <c r="D599" s="15" t="s">
        <v>773</v>
      </c>
      <c r="F599" s="20">
        <v>2.4</v>
      </c>
    </row>
    <row r="600" spans="1:43" ht="12.75">
      <c r="A600" s="4" t="s">
        <v>134</v>
      </c>
      <c r="B600" s="4"/>
      <c r="C600" s="4" t="s">
        <v>274</v>
      </c>
      <c r="D600" s="4" t="s">
        <v>774</v>
      </c>
      <c r="E600" s="4" t="s">
        <v>806</v>
      </c>
      <c r="F600" s="19">
        <v>179.555</v>
      </c>
      <c r="G600" s="19">
        <v>0</v>
      </c>
      <c r="H600" s="19">
        <f>F600*AE600</f>
        <v>0</v>
      </c>
      <c r="I600" s="19">
        <f>J600-H600</f>
        <v>0</v>
      </c>
      <c r="J600" s="19">
        <f>F600*G600</f>
        <v>0</v>
      </c>
      <c r="K600" s="19">
        <v>0.068</v>
      </c>
      <c r="L600" s="19">
        <f>F600*K600</f>
        <v>12.209740000000002</v>
      </c>
      <c r="M600" s="32" t="s">
        <v>829</v>
      </c>
      <c r="N600" s="32" t="s">
        <v>7</v>
      </c>
      <c r="O600" s="19">
        <f>IF(N600="5",I600,0)</f>
        <v>0</v>
      </c>
      <c r="Z600" s="19">
        <f>IF(AD600=0,J600,0)</f>
        <v>0</v>
      </c>
      <c r="AA600" s="19">
        <f>IF(AD600=15,J600,0)</f>
        <v>0</v>
      </c>
      <c r="AB600" s="19">
        <f>IF(AD600=21,J600,0)</f>
        <v>0</v>
      </c>
      <c r="AD600" s="36">
        <v>21</v>
      </c>
      <c r="AE600" s="36">
        <f>G600*0</f>
        <v>0</v>
      </c>
      <c r="AF600" s="36">
        <f>G600*(1-0)</f>
        <v>0</v>
      </c>
      <c r="AM600" s="36">
        <f>F600*AE600</f>
        <v>0</v>
      </c>
      <c r="AN600" s="36">
        <f>F600*AF600</f>
        <v>0</v>
      </c>
      <c r="AO600" s="37" t="s">
        <v>860</v>
      </c>
      <c r="AP600" s="37" t="s">
        <v>869</v>
      </c>
      <c r="AQ600" s="29" t="s">
        <v>870</v>
      </c>
    </row>
    <row r="601" spans="4:6" ht="12.75">
      <c r="D601" s="15" t="s">
        <v>775</v>
      </c>
      <c r="F601" s="20">
        <v>16.925</v>
      </c>
    </row>
    <row r="602" spans="4:6" ht="12.75">
      <c r="D602" s="15" t="s">
        <v>776</v>
      </c>
      <c r="F602" s="20">
        <v>5.125</v>
      </c>
    </row>
    <row r="603" spans="4:6" ht="12.75">
      <c r="D603" s="15" t="s">
        <v>777</v>
      </c>
      <c r="F603" s="20">
        <v>22.05</v>
      </c>
    </row>
    <row r="604" spans="4:6" ht="12.75">
      <c r="D604" s="15" t="s">
        <v>778</v>
      </c>
      <c r="F604" s="20">
        <v>22.05</v>
      </c>
    </row>
    <row r="605" spans="4:6" ht="12.75">
      <c r="D605" s="15" t="s">
        <v>779</v>
      </c>
      <c r="F605" s="20">
        <v>22.05</v>
      </c>
    </row>
    <row r="606" spans="4:6" ht="12.75">
      <c r="D606" s="15" t="s">
        <v>330</v>
      </c>
      <c r="F606" s="20">
        <v>3.3</v>
      </c>
    </row>
    <row r="607" spans="4:6" ht="12.75">
      <c r="D607" s="15" t="s">
        <v>780</v>
      </c>
      <c r="F607" s="20">
        <v>8.25</v>
      </c>
    </row>
    <row r="608" spans="4:6" ht="12.75">
      <c r="D608" s="15" t="s">
        <v>781</v>
      </c>
      <c r="F608" s="20">
        <v>5.88</v>
      </c>
    </row>
    <row r="609" spans="4:6" ht="12.75">
      <c r="D609" s="15" t="s">
        <v>782</v>
      </c>
      <c r="F609" s="20">
        <v>7.15</v>
      </c>
    </row>
    <row r="610" spans="4:6" ht="12.75">
      <c r="D610" s="15" t="s">
        <v>783</v>
      </c>
      <c r="F610" s="20">
        <v>5.625</v>
      </c>
    </row>
    <row r="611" spans="4:6" ht="12.75">
      <c r="D611" s="15" t="s">
        <v>784</v>
      </c>
      <c r="F611" s="20">
        <v>17.05</v>
      </c>
    </row>
    <row r="612" spans="4:6" ht="12.75">
      <c r="D612" s="15" t="s">
        <v>785</v>
      </c>
      <c r="F612" s="20">
        <v>22.05</v>
      </c>
    </row>
    <row r="613" spans="4:6" ht="12.75">
      <c r="D613" s="15" t="s">
        <v>777</v>
      </c>
      <c r="F613" s="20">
        <v>22.05</v>
      </c>
    </row>
    <row r="614" spans="1:43" ht="12.75">
      <c r="A614" s="4" t="s">
        <v>135</v>
      </c>
      <c r="B614" s="4"/>
      <c r="C614" s="4" t="s">
        <v>275</v>
      </c>
      <c r="D614" s="4" t="s">
        <v>786</v>
      </c>
      <c r="E614" s="4" t="s">
        <v>807</v>
      </c>
      <c r="F614" s="19">
        <v>42</v>
      </c>
      <c r="G614" s="19">
        <v>0</v>
      </c>
      <c r="H614" s="19">
        <f>F614*AE614</f>
        <v>0</v>
      </c>
      <c r="I614" s="19">
        <f>J614-H614</f>
        <v>0</v>
      </c>
      <c r="J614" s="19">
        <f>F614*G614</f>
        <v>0</v>
      </c>
      <c r="K614" s="19">
        <v>0.01849</v>
      </c>
      <c r="L614" s="19">
        <f>F614*K614</f>
        <v>0.7765799999999999</v>
      </c>
      <c r="M614" s="32" t="s">
        <v>829</v>
      </c>
      <c r="N614" s="32" t="s">
        <v>7</v>
      </c>
      <c r="O614" s="19">
        <f>IF(N614="5",I614,0)</f>
        <v>0</v>
      </c>
      <c r="Z614" s="19">
        <f>IF(AD614=0,J614,0)</f>
        <v>0</v>
      </c>
      <c r="AA614" s="19">
        <f>IF(AD614=15,J614,0)</f>
        <v>0</v>
      </c>
      <c r="AB614" s="19">
        <f>IF(AD614=21,J614,0)</f>
        <v>0</v>
      </c>
      <c r="AD614" s="36">
        <v>21</v>
      </c>
      <c r="AE614" s="36">
        <f>G614*0.129139072847682</f>
        <v>0</v>
      </c>
      <c r="AF614" s="36">
        <f>G614*(1-0.129139072847682)</f>
        <v>0</v>
      </c>
      <c r="AM614" s="36">
        <f>F614*AE614</f>
        <v>0</v>
      </c>
      <c r="AN614" s="36">
        <f>F614*AF614</f>
        <v>0</v>
      </c>
      <c r="AO614" s="37" t="s">
        <v>860</v>
      </c>
      <c r="AP614" s="37" t="s">
        <v>869</v>
      </c>
      <c r="AQ614" s="29" t="s">
        <v>870</v>
      </c>
    </row>
    <row r="615" spans="4:6" ht="12.75">
      <c r="D615" s="15" t="s">
        <v>349</v>
      </c>
      <c r="F615" s="20">
        <v>42</v>
      </c>
    </row>
    <row r="616" spans="4:6" ht="12.75">
      <c r="D616" s="15" t="s">
        <v>350</v>
      </c>
      <c r="F616" s="20">
        <v>0</v>
      </c>
    </row>
    <row r="617" spans="1:43" ht="12.75">
      <c r="A617" s="4" t="s">
        <v>136</v>
      </c>
      <c r="B617" s="4"/>
      <c r="C617" s="4" t="s">
        <v>276</v>
      </c>
      <c r="D617" s="4" t="s">
        <v>787</v>
      </c>
      <c r="E617" s="4" t="s">
        <v>805</v>
      </c>
      <c r="F617" s="19">
        <v>3</v>
      </c>
      <c r="G617" s="19">
        <v>0</v>
      </c>
      <c r="H617" s="19">
        <f>F617*AE617</f>
        <v>0</v>
      </c>
      <c r="I617" s="19">
        <f>J617-H617</f>
        <v>0</v>
      </c>
      <c r="J617" s="19">
        <f>F617*G617</f>
        <v>0</v>
      </c>
      <c r="K617" s="19">
        <v>0</v>
      </c>
      <c r="L617" s="19">
        <f>F617*K617</f>
        <v>0</v>
      </c>
      <c r="M617" s="32"/>
      <c r="N617" s="32" t="s">
        <v>7</v>
      </c>
      <c r="O617" s="19">
        <f>IF(N617="5",I617,0)</f>
        <v>0</v>
      </c>
      <c r="Z617" s="19">
        <f>IF(AD617=0,J617,0)</f>
        <v>0</v>
      </c>
      <c r="AA617" s="19">
        <f>IF(AD617=15,J617,0)</f>
        <v>0</v>
      </c>
      <c r="AB617" s="19">
        <f>IF(AD617=21,J617,0)</f>
        <v>0</v>
      </c>
      <c r="AD617" s="36">
        <v>21</v>
      </c>
      <c r="AE617" s="36">
        <f>G617*0</f>
        <v>0</v>
      </c>
      <c r="AF617" s="36">
        <f>G617*(1-0)</f>
        <v>0</v>
      </c>
      <c r="AM617" s="36">
        <f>F617*AE617</f>
        <v>0</v>
      </c>
      <c r="AN617" s="36">
        <f>F617*AF617</f>
        <v>0</v>
      </c>
      <c r="AO617" s="37" t="s">
        <v>860</v>
      </c>
      <c r="AP617" s="37" t="s">
        <v>869</v>
      </c>
      <c r="AQ617" s="29" t="s">
        <v>870</v>
      </c>
    </row>
    <row r="618" spans="4:6" ht="12.75">
      <c r="D618" s="15" t="s">
        <v>788</v>
      </c>
      <c r="F618" s="20">
        <v>3</v>
      </c>
    </row>
    <row r="619" spans="1:37" ht="12.75">
      <c r="A619" s="5"/>
      <c r="B619" s="13"/>
      <c r="C619" s="13" t="s">
        <v>277</v>
      </c>
      <c r="D619" s="67" t="s">
        <v>789</v>
      </c>
      <c r="E619" s="68"/>
      <c r="F619" s="68"/>
      <c r="G619" s="68"/>
      <c r="H619" s="39">
        <f>SUM(H620:H620)</f>
        <v>0</v>
      </c>
      <c r="I619" s="39">
        <f>SUM(I620:I620)</f>
        <v>0</v>
      </c>
      <c r="J619" s="39">
        <f>H619+I619</f>
        <v>0</v>
      </c>
      <c r="K619" s="29"/>
      <c r="L619" s="39">
        <f>SUM(L620:L620)</f>
        <v>0</v>
      </c>
      <c r="M619" s="29"/>
      <c r="P619" s="39">
        <f>IF(Q619="PR",J619,SUM(O620:O620))</f>
        <v>0</v>
      </c>
      <c r="Q619" s="29" t="s">
        <v>834</v>
      </c>
      <c r="R619" s="39">
        <f>IF(Q619="HS",H619,0)</f>
        <v>0</v>
      </c>
      <c r="S619" s="39">
        <f>IF(Q619="HS",I619-P619,0)</f>
        <v>0</v>
      </c>
      <c r="T619" s="39">
        <f>IF(Q619="PS",H619,0)</f>
        <v>0</v>
      </c>
      <c r="U619" s="39">
        <f>IF(Q619="PS",I619-P619,0)</f>
        <v>0</v>
      </c>
      <c r="V619" s="39">
        <f>IF(Q619="MP",H619,0)</f>
        <v>0</v>
      </c>
      <c r="W619" s="39">
        <f>IF(Q619="MP",I619-P619,0)</f>
        <v>0</v>
      </c>
      <c r="X619" s="39">
        <f>IF(Q619="OM",H619,0)</f>
        <v>0</v>
      </c>
      <c r="Y619" s="29"/>
      <c r="AI619" s="39">
        <f>SUM(Z620:Z620)</f>
        <v>0</v>
      </c>
      <c r="AJ619" s="39">
        <f>SUM(AA620:AA620)</f>
        <v>0</v>
      </c>
      <c r="AK619" s="39">
        <f>SUM(AB620:AB620)</f>
        <v>0</v>
      </c>
    </row>
    <row r="620" spans="1:43" ht="12.75">
      <c r="A620" s="4" t="s">
        <v>137</v>
      </c>
      <c r="B620" s="4"/>
      <c r="C620" s="4" t="s">
        <v>278</v>
      </c>
      <c r="D620" s="4" t="s">
        <v>790</v>
      </c>
      <c r="E620" s="4" t="s">
        <v>809</v>
      </c>
      <c r="F620" s="19">
        <v>26.29434</v>
      </c>
      <c r="G620" s="19">
        <v>0</v>
      </c>
      <c r="H620" s="19">
        <f>F620*AE620</f>
        <v>0</v>
      </c>
      <c r="I620" s="19">
        <f>J620-H620</f>
        <v>0</v>
      </c>
      <c r="J620" s="19">
        <f>F620*G620</f>
        <v>0</v>
      </c>
      <c r="K620" s="19">
        <v>0</v>
      </c>
      <c r="L620" s="19">
        <f>F620*K620</f>
        <v>0</v>
      </c>
      <c r="M620" s="32" t="s">
        <v>829</v>
      </c>
      <c r="N620" s="32" t="s">
        <v>11</v>
      </c>
      <c r="O620" s="19">
        <f>IF(N620="5",I620,0)</f>
        <v>0</v>
      </c>
      <c r="Z620" s="19">
        <f>IF(AD620=0,J620,0)</f>
        <v>0</v>
      </c>
      <c r="AA620" s="19">
        <f>IF(AD620=15,J620,0)</f>
        <v>0</v>
      </c>
      <c r="AB620" s="19">
        <f>IF(AD620=21,J620,0)</f>
        <v>0</v>
      </c>
      <c r="AD620" s="36">
        <v>21</v>
      </c>
      <c r="AE620" s="36">
        <f>G620*0</f>
        <v>0</v>
      </c>
      <c r="AF620" s="36">
        <f>G620*(1-0)</f>
        <v>0</v>
      </c>
      <c r="AM620" s="36">
        <f>F620*AE620</f>
        <v>0</v>
      </c>
      <c r="AN620" s="36">
        <f>F620*AF620</f>
        <v>0</v>
      </c>
      <c r="AO620" s="37" t="s">
        <v>861</v>
      </c>
      <c r="AP620" s="37" t="s">
        <v>869</v>
      </c>
      <c r="AQ620" s="29" t="s">
        <v>870</v>
      </c>
    </row>
    <row r="621" spans="4:6" ht="12.75">
      <c r="D621" s="15" t="s">
        <v>791</v>
      </c>
      <c r="F621" s="20">
        <v>26.29434</v>
      </c>
    </row>
    <row r="622" spans="1:37" ht="12.75">
      <c r="A622" s="5"/>
      <c r="B622" s="13"/>
      <c r="C622" s="13" t="s">
        <v>279</v>
      </c>
      <c r="D622" s="67" t="s">
        <v>792</v>
      </c>
      <c r="E622" s="68"/>
      <c r="F622" s="68"/>
      <c r="G622" s="68"/>
      <c r="H622" s="39">
        <f>SUM(H623:H631)</f>
        <v>0</v>
      </c>
      <c r="I622" s="39">
        <f>SUM(I623:I631)</f>
        <v>0</v>
      </c>
      <c r="J622" s="39">
        <f>H622+I622</f>
        <v>0</v>
      </c>
      <c r="K622" s="29"/>
      <c r="L622" s="39">
        <f>SUM(L623:L631)</f>
        <v>0</v>
      </c>
      <c r="M622" s="29"/>
      <c r="P622" s="39">
        <f>IF(Q622="PR",J622,SUM(O623:O631))</f>
        <v>0</v>
      </c>
      <c r="Q622" s="29" t="s">
        <v>834</v>
      </c>
      <c r="R622" s="39">
        <f>IF(Q622="HS",H622,0)</f>
        <v>0</v>
      </c>
      <c r="S622" s="39">
        <f>IF(Q622="HS",I622-P622,0)</f>
        <v>0</v>
      </c>
      <c r="T622" s="39">
        <f>IF(Q622="PS",H622,0)</f>
        <v>0</v>
      </c>
      <c r="U622" s="39">
        <f>IF(Q622="PS",I622-P622,0)</f>
        <v>0</v>
      </c>
      <c r="V622" s="39">
        <f>IF(Q622="MP",H622,0)</f>
        <v>0</v>
      </c>
      <c r="W622" s="39">
        <f>IF(Q622="MP",I622-P622,0)</f>
        <v>0</v>
      </c>
      <c r="X622" s="39">
        <f>IF(Q622="OM",H622,0)</f>
        <v>0</v>
      </c>
      <c r="Y622" s="29"/>
      <c r="AI622" s="39">
        <f>SUM(Z623:Z631)</f>
        <v>0</v>
      </c>
      <c r="AJ622" s="39">
        <f>SUM(AA623:AA631)</f>
        <v>0</v>
      </c>
      <c r="AK622" s="39">
        <f>SUM(AB623:AB631)</f>
        <v>0</v>
      </c>
    </row>
    <row r="623" spans="1:43" ht="12.75">
      <c r="A623" s="4" t="s">
        <v>138</v>
      </c>
      <c r="B623" s="4"/>
      <c r="C623" s="4" t="s">
        <v>280</v>
      </c>
      <c r="D623" s="4" t="s">
        <v>793</v>
      </c>
      <c r="E623" s="4" t="s">
        <v>809</v>
      </c>
      <c r="F623" s="19">
        <v>17.60913</v>
      </c>
      <c r="G623" s="19">
        <v>0</v>
      </c>
      <c r="H623" s="19">
        <f>F623*AE623</f>
        <v>0</v>
      </c>
      <c r="I623" s="19">
        <f>J623-H623</f>
        <v>0</v>
      </c>
      <c r="J623" s="19">
        <f>F623*G623</f>
        <v>0</v>
      </c>
      <c r="K623" s="19">
        <v>0</v>
      </c>
      <c r="L623" s="19">
        <f>F623*K623</f>
        <v>0</v>
      </c>
      <c r="M623" s="32" t="s">
        <v>829</v>
      </c>
      <c r="N623" s="32" t="s">
        <v>11</v>
      </c>
      <c r="O623" s="19">
        <f>IF(N623="5",I623,0)</f>
        <v>0</v>
      </c>
      <c r="Z623" s="19">
        <f>IF(AD623=0,J623,0)</f>
        <v>0</v>
      </c>
      <c r="AA623" s="19">
        <f>IF(AD623=15,J623,0)</f>
        <v>0</v>
      </c>
      <c r="AB623" s="19">
        <f>IF(AD623=21,J623,0)</f>
        <v>0</v>
      </c>
      <c r="AD623" s="36">
        <v>21</v>
      </c>
      <c r="AE623" s="36">
        <f>G623*0</f>
        <v>0</v>
      </c>
      <c r="AF623" s="36">
        <f>G623*(1-0)</f>
        <v>0</v>
      </c>
      <c r="AM623" s="36">
        <f>F623*AE623</f>
        <v>0</v>
      </c>
      <c r="AN623" s="36">
        <f>F623*AF623</f>
        <v>0</v>
      </c>
      <c r="AO623" s="37" t="s">
        <v>862</v>
      </c>
      <c r="AP623" s="37" t="s">
        <v>869</v>
      </c>
      <c r="AQ623" s="29" t="s">
        <v>870</v>
      </c>
    </row>
    <row r="624" spans="4:6" ht="12.75">
      <c r="D624" s="15" t="s">
        <v>794</v>
      </c>
      <c r="F624" s="20">
        <v>17.60913</v>
      </c>
    </row>
    <row r="625" spans="1:43" ht="12.75">
      <c r="A625" s="4" t="s">
        <v>139</v>
      </c>
      <c r="B625" s="4"/>
      <c r="C625" s="4" t="s">
        <v>281</v>
      </c>
      <c r="D625" s="4" t="s">
        <v>795</v>
      </c>
      <c r="E625" s="4" t="s">
        <v>809</v>
      </c>
      <c r="F625" s="19">
        <v>17.60913</v>
      </c>
      <c r="G625" s="19">
        <v>0</v>
      </c>
      <c r="H625" s="19">
        <f>F625*AE625</f>
        <v>0</v>
      </c>
      <c r="I625" s="19">
        <f>J625-H625</f>
        <v>0</v>
      </c>
      <c r="J625" s="19">
        <f>F625*G625</f>
        <v>0</v>
      </c>
      <c r="K625" s="19">
        <v>0</v>
      </c>
      <c r="L625" s="19">
        <f>F625*K625</f>
        <v>0</v>
      </c>
      <c r="M625" s="32" t="s">
        <v>829</v>
      </c>
      <c r="N625" s="32" t="s">
        <v>11</v>
      </c>
      <c r="O625" s="19">
        <f>IF(N625="5",I625,0)</f>
        <v>0</v>
      </c>
      <c r="Z625" s="19">
        <f>IF(AD625=0,J625,0)</f>
        <v>0</v>
      </c>
      <c r="AA625" s="19">
        <f>IF(AD625=15,J625,0)</f>
        <v>0</v>
      </c>
      <c r="AB625" s="19">
        <f>IF(AD625=21,J625,0)</f>
        <v>0</v>
      </c>
      <c r="AD625" s="36">
        <v>21</v>
      </c>
      <c r="AE625" s="36">
        <f>G625*0</f>
        <v>0</v>
      </c>
      <c r="AF625" s="36">
        <f>G625*(1-0)</f>
        <v>0</v>
      </c>
      <c r="AM625" s="36">
        <f>F625*AE625</f>
        <v>0</v>
      </c>
      <c r="AN625" s="36">
        <f>F625*AF625</f>
        <v>0</v>
      </c>
      <c r="AO625" s="37" t="s">
        <v>862</v>
      </c>
      <c r="AP625" s="37" t="s">
        <v>869</v>
      </c>
      <c r="AQ625" s="29" t="s">
        <v>870</v>
      </c>
    </row>
    <row r="626" spans="4:6" ht="12.75">
      <c r="D626" s="15" t="s">
        <v>794</v>
      </c>
      <c r="F626" s="20">
        <v>17.60913</v>
      </c>
    </row>
    <row r="627" spans="1:43" ht="12.75">
      <c r="A627" s="4" t="s">
        <v>140</v>
      </c>
      <c r="B627" s="4"/>
      <c r="C627" s="4" t="s">
        <v>282</v>
      </c>
      <c r="D627" s="4" t="s">
        <v>796</v>
      </c>
      <c r="E627" s="4" t="s">
        <v>809</v>
      </c>
      <c r="F627" s="19">
        <v>17.60913</v>
      </c>
      <c r="G627" s="19">
        <v>0</v>
      </c>
      <c r="H627" s="19">
        <f>F627*AE627</f>
        <v>0</v>
      </c>
      <c r="I627" s="19">
        <f>J627-H627</f>
        <v>0</v>
      </c>
      <c r="J627" s="19">
        <f>F627*G627</f>
        <v>0</v>
      </c>
      <c r="K627" s="19">
        <v>0</v>
      </c>
      <c r="L627" s="19">
        <f>F627*K627</f>
        <v>0</v>
      </c>
      <c r="M627" s="32" t="s">
        <v>829</v>
      </c>
      <c r="N627" s="32" t="s">
        <v>11</v>
      </c>
      <c r="O627" s="19">
        <f>IF(N627="5",I627,0)</f>
        <v>0</v>
      </c>
      <c r="Z627" s="19">
        <f>IF(AD627=0,J627,0)</f>
        <v>0</v>
      </c>
      <c r="AA627" s="19">
        <f>IF(AD627=15,J627,0)</f>
        <v>0</v>
      </c>
      <c r="AB627" s="19">
        <f>IF(AD627=21,J627,0)</f>
        <v>0</v>
      </c>
      <c r="AD627" s="36">
        <v>21</v>
      </c>
      <c r="AE627" s="36">
        <f>G627*0</f>
        <v>0</v>
      </c>
      <c r="AF627" s="36">
        <f>G627*(1-0)</f>
        <v>0</v>
      </c>
      <c r="AM627" s="36">
        <f>F627*AE627</f>
        <v>0</v>
      </c>
      <c r="AN627" s="36">
        <f>F627*AF627</f>
        <v>0</v>
      </c>
      <c r="AO627" s="37" t="s">
        <v>862</v>
      </c>
      <c r="AP627" s="37" t="s">
        <v>869</v>
      </c>
      <c r="AQ627" s="29" t="s">
        <v>870</v>
      </c>
    </row>
    <row r="628" spans="4:6" ht="12.75">
      <c r="D628" s="15" t="s">
        <v>794</v>
      </c>
      <c r="F628" s="20">
        <v>17.60913</v>
      </c>
    </row>
    <row r="629" spans="1:43" ht="12.75">
      <c r="A629" s="4" t="s">
        <v>141</v>
      </c>
      <c r="B629" s="4"/>
      <c r="C629" s="4" t="s">
        <v>283</v>
      </c>
      <c r="D629" s="4" t="s">
        <v>797</v>
      </c>
      <c r="E629" s="4" t="s">
        <v>809</v>
      </c>
      <c r="F629" s="19">
        <v>246.52782</v>
      </c>
      <c r="G629" s="19">
        <v>0</v>
      </c>
      <c r="H629" s="19">
        <f>F629*AE629</f>
        <v>0</v>
      </c>
      <c r="I629" s="19">
        <f>J629-H629</f>
        <v>0</v>
      </c>
      <c r="J629" s="19">
        <f>F629*G629</f>
        <v>0</v>
      </c>
      <c r="K629" s="19">
        <v>0</v>
      </c>
      <c r="L629" s="19">
        <f>F629*K629</f>
        <v>0</v>
      </c>
      <c r="M629" s="32" t="s">
        <v>829</v>
      </c>
      <c r="N629" s="32" t="s">
        <v>11</v>
      </c>
      <c r="O629" s="19">
        <f>IF(N629="5",I629,0)</f>
        <v>0</v>
      </c>
      <c r="Z629" s="19">
        <f>IF(AD629=0,J629,0)</f>
        <v>0</v>
      </c>
      <c r="AA629" s="19">
        <f>IF(AD629=15,J629,0)</f>
        <v>0</v>
      </c>
      <c r="AB629" s="19">
        <f>IF(AD629=21,J629,0)</f>
        <v>0</v>
      </c>
      <c r="AD629" s="36">
        <v>21</v>
      </c>
      <c r="AE629" s="36">
        <f>G629*0</f>
        <v>0</v>
      </c>
      <c r="AF629" s="36">
        <f>G629*(1-0)</f>
        <v>0</v>
      </c>
      <c r="AM629" s="36">
        <f>F629*AE629</f>
        <v>0</v>
      </c>
      <c r="AN629" s="36">
        <f>F629*AF629</f>
        <v>0</v>
      </c>
      <c r="AO629" s="37" t="s">
        <v>862</v>
      </c>
      <c r="AP629" s="37" t="s">
        <v>869</v>
      </c>
      <c r="AQ629" s="29" t="s">
        <v>870</v>
      </c>
    </row>
    <row r="630" spans="4:6" ht="12.75">
      <c r="D630" s="15" t="s">
        <v>798</v>
      </c>
      <c r="F630" s="20">
        <v>246.52782</v>
      </c>
    </row>
    <row r="631" spans="1:43" ht="12.75">
      <c r="A631" s="4" t="s">
        <v>142</v>
      </c>
      <c r="B631" s="4"/>
      <c r="C631" s="4" t="s">
        <v>284</v>
      </c>
      <c r="D631" s="4" t="s">
        <v>799</v>
      </c>
      <c r="E631" s="4" t="s">
        <v>809</v>
      </c>
      <c r="F631" s="19">
        <v>17.60913</v>
      </c>
      <c r="G631" s="19">
        <v>0</v>
      </c>
      <c r="H631" s="19">
        <f>F631*AE631</f>
        <v>0</v>
      </c>
      <c r="I631" s="19">
        <f>J631-H631</f>
        <v>0</v>
      </c>
      <c r="J631" s="19">
        <f>F631*G631</f>
        <v>0</v>
      </c>
      <c r="K631" s="19">
        <v>0</v>
      </c>
      <c r="L631" s="19">
        <f>F631*K631</f>
        <v>0</v>
      </c>
      <c r="M631" s="32"/>
      <c r="N631" s="32" t="s">
        <v>11</v>
      </c>
      <c r="O631" s="19">
        <f>IF(N631="5",I631,0)</f>
        <v>0</v>
      </c>
      <c r="Z631" s="19">
        <f>IF(AD631=0,J631,0)</f>
        <v>0</v>
      </c>
      <c r="AA631" s="19">
        <f>IF(AD631=15,J631,0)</f>
        <v>0</v>
      </c>
      <c r="AB631" s="19">
        <f>IF(AD631=21,J631,0)</f>
        <v>0</v>
      </c>
      <c r="AD631" s="36">
        <v>21</v>
      </c>
      <c r="AE631" s="36">
        <f>G631*0</f>
        <v>0</v>
      </c>
      <c r="AF631" s="36">
        <f>G631*(1-0)</f>
        <v>0</v>
      </c>
      <c r="AM631" s="36">
        <f>F631*AE631</f>
        <v>0</v>
      </c>
      <c r="AN631" s="36">
        <f>F631*AF631</f>
        <v>0</v>
      </c>
      <c r="AO631" s="37" t="s">
        <v>862</v>
      </c>
      <c r="AP631" s="37" t="s">
        <v>869</v>
      </c>
      <c r="AQ631" s="29" t="s">
        <v>870</v>
      </c>
    </row>
    <row r="632" spans="1:13" ht="12.75">
      <c r="A632" s="7"/>
      <c r="B632" s="7"/>
      <c r="C632" s="7"/>
      <c r="D632" s="16" t="s">
        <v>794</v>
      </c>
      <c r="E632" s="7"/>
      <c r="F632" s="22">
        <v>17.60913</v>
      </c>
      <c r="G632" s="7"/>
      <c r="H632" s="7"/>
      <c r="I632" s="7"/>
      <c r="J632" s="7"/>
      <c r="K632" s="7"/>
      <c r="L632" s="7"/>
      <c r="M632" s="7"/>
    </row>
    <row r="633" spans="1:28" ht="12.75">
      <c r="A633" s="8"/>
      <c r="B633" s="8"/>
      <c r="C633" s="8"/>
      <c r="D633" s="8"/>
      <c r="E633" s="8"/>
      <c r="F633" s="8"/>
      <c r="G633" s="8"/>
      <c r="H633" s="69" t="s">
        <v>815</v>
      </c>
      <c r="I633" s="70"/>
      <c r="J633" s="40">
        <f>J12+J44+J60+J63+J75+J86+J119+J269+J314+J331+J347+J440+J483+J510+J562+J566+J569+J579+J619+J622</f>
        <v>0</v>
      </c>
      <c r="K633" s="8"/>
      <c r="L633" s="8"/>
      <c r="M633" s="8"/>
      <c r="Z633" s="41">
        <f>SUM(Z13:Z632)</f>
        <v>0</v>
      </c>
      <c r="AA633" s="41">
        <f>SUM(AA13:AA632)</f>
        <v>0</v>
      </c>
      <c r="AB633" s="41">
        <f>SUM(AB13:AB632)</f>
        <v>0</v>
      </c>
    </row>
    <row r="634" ht="11.25" customHeight="1">
      <c r="A634" s="9" t="s">
        <v>143</v>
      </c>
    </row>
    <row r="635" spans="1:13" ht="409.5" customHeight="1" hidden="1">
      <c r="A635" s="71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</row>
  </sheetData>
  <sheetProtection/>
  <mergeCells count="4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44:G44"/>
    <mergeCell ref="D60:G60"/>
    <mergeCell ref="D63:G63"/>
    <mergeCell ref="D75:G75"/>
    <mergeCell ref="D86:G86"/>
    <mergeCell ref="D119:G119"/>
    <mergeCell ref="D269:G269"/>
    <mergeCell ref="D314:G314"/>
    <mergeCell ref="D331:G331"/>
    <mergeCell ref="D347:G347"/>
    <mergeCell ref="D440:G440"/>
    <mergeCell ref="D483:G483"/>
    <mergeCell ref="D510:G510"/>
    <mergeCell ref="D562:G562"/>
    <mergeCell ref="D566:G566"/>
    <mergeCell ref="D569:G569"/>
    <mergeCell ref="D579:G579"/>
    <mergeCell ref="D619:G619"/>
    <mergeCell ref="D622:G622"/>
    <mergeCell ref="H633:I633"/>
    <mergeCell ref="A635:M63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6" t="s">
        <v>871</v>
      </c>
      <c r="B1" s="87"/>
      <c r="C1" s="87"/>
      <c r="D1" s="87"/>
      <c r="E1" s="87"/>
      <c r="F1" s="87"/>
      <c r="G1" s="87"/>
    </row>
    <row r="2" spans="1:8" ht="12.75">
      <c r="A2" s="88" t="s">
        <v>1</v>
      </c>
      <c r="B2" s="90" t="s">
        <v>285</v>
      </c>
      <c r="C2" s="70"/>
      <c r="D2" s="93" t="s">
        <v>816</v>
      </c>
      <c r="E2" s="93" t="s">
        <v>821</v>
      </c>
      <c r="F2" s="89"/>
      <c r="G2" s="94"/>
      <c r="H2" s="34"/>
    </row>
    <row r="3" spans="1:8" ht="12.75">
      <c r="A3" s="85"/>
      <c r="B3" s="91"/>
      <c r="C3" s="91"/>
      <c r="D3" s="72"/>
      <c r="E3" s="72"/>
      <c r="F3" s="72"/>
      <c r="G3" s="83"/>
      <c r="H3" s="34"/>
    </row>
    <row r="4" spans="1:8" ht="12.75">
      <c r="A4" s="78" t="s">
        <v>2</v>
      </c>
      <c r="B4" s="71" t="s">
        <v>286</v>
      </c>
      <c r="C4" s="72"/>
      <c r="D4" s="71" t="s">
        <v>817</v>
      </c>
      <c r="E4" s="71" t="s">
        <v>822</v>
      </c>
      <c r="F4" s="72"/>
      <c r="G4" s="83"/>
      <c r="H4" s="34"/>
    </row>
    <row r="5" spans="1:8" ht="12.75">
      <c r="A5" s="85"/>
      <c r="B5" s="72"/>
      <c r="C5" s="72"/>
      <c r="D5" s="72"/>
      <c r="E5" s="72"/>
      <c r="F5" s="72"/>
      <c r="G5" s="83"/>
      <c r="H5" s="34"/>
    </row>
    <row r="6" spans="1:8" ht="12.75">
      <c r="A6" s="78" t="s">
        <v>3</v>
      </c>
      <c r="B6" s="71" t="s">
        <v>287</v>
      </c>
      <c r="C6" s="72"/>
      <c r="D6" s="71" t="s">
        <v>818</v>
      </c>
      <c r="E6" s="71" t="s">
        <v>823</v>
      </c>
      <c r="F6" s="72"/>
      <c r="G6" s="83"/>
      <c r="H6" s="34"/>
    </row>
    <row r="7" spans="1:8" ht="12.75">
      <c r="A7" s="85"/>
      <c r="B7" s="72"/>
      <c r="C7" s="72"/>
      <c r="D7" s="72"/>
      <c r="E7" s="72"/>
      <c r="F7" s="72"/>
      <c r="G7" s="83"/>
      <c r="H7" s="34"/>
    </row>
    <row r="8" spans="1:8" ht="12.75">
      <c r="A8" s="78" t="s">
        <v>819</v>
      </c>
      <c r="B8" s="71" t="s">
        <v>824</v>
      </c>
      <c r="C8" s="72"/>
      <c r="D8" s="81" t="s">
        <v>803</v>
      </c>
      <c r="E8" s="82">
        <v>42501</v>
      </c>
      <c r="F8" s="72"/>
      <c r="G8" s="83"/>
      <c r="H8" s="34"/>
    </row>
    <row r="9" spans="1:8" ht="12.75">
      <c r="A9" s="79"/>
      <c r="B9" s="80"/>
      <c r="C9" s="80"/>
      <c r="D9" s="80"/>
      <c r="E9" s="80"/>
      <c r="F9" s="80"/>
      <c r="G9" s="84"/>
      <c r="H9" s="34"/>
    </row>
    <row r="10" spans="1:8" ht="12.75">
      <c r="A10" s="42" t="s">
        <v>144</v>
      </c>
      <c r="B10" s="44" t="s">
        <v>145</v>
      </c>
      <c r="C10" s="45" t="s">
        <v>288</v>
      </c>
      <c r="D10" s="46" t="s">
        <v>872</v>
      </c>
      <c r="E10" s="46" t="s">
        <v>873</v>
      </c>
      <c r="F10" s="46" t="s">
        <v>874</v>
      </c>
      <c r="G10" s="49" t="s">
        <v>875</v>
      </c>
      <c r="H10" s="35"/>
    </row>
    <row r="11" spans="1:9" ht="12.75">
      <c r="A11" s="43"/>
      <c r="B11" s="43" t="s">
        <v>27</v>
      </c>
      <c r="C11" s="43" t="s">
        <v>290</v>
      </c>
      <c r="D11" s="47"/>
      <c r="E11" s="47"/>
      <c r="F11" s="50">
        <f aca="true" t="shared" si="0" ref="F11:F30">D11+E11</f>
        <v>0</v>
      </c>
      <c r="G11" s="50">
        <v>0.20412</v>
      </c>
      <c r="H11" s="36" t="s">
        <v>876</v>
      </c>
      <c r="I11" s="36">
        <f aca="true" t="shared" si="1" ref="I11:I30">IF(H11="T",0,F11)</f>
        <v>0</v>
      </c>
    </row>
    <row r="12" spans="1:9" ht="12.75">
      <c r="A12" s="17"/>
      <c r="B12" s="17" t="s">
        <v>37</v>
      </c>
      <c r="C12" s="17" t="s">
        <v>321</v>
      </c>
      <c r="F12" s="36">
        <f t="shared" si="0"/>
        <v>0</v>
      </c>
      <c r="G12" s="36">
        <v>8.61004</v>
      </c>
      <c r="H12" s="36" t="s">
        <v>876</v>
      </c>
      <c r="I12" s="36">
        <f t="shared" si="1"/>
        <v>0</v>
      </c>
    </row>
    <row r="13" spans="1:9" ht="12.75">
      <c r="A13" s="17"/>
      <c r="B13" s="17" t="s">
        <v>12</v>
      </c>
      <c r="C13" s="17" t="s">
        <v>336</v>
      </c>
      <c r="F13" s="36">
        <f t="shared" si="0"/>
        <v>0</v>
      </c>
      <c r="G13" s="36">
        <v>4.66273</v>
      </c>
      <c r="H13" s="36" t="s">
        <v>876</v>
      </c>
      <c r="I13" s="36">
        <f t="shared" si="1"/>
        <v>0</v>
      </c>
    </row>
    <row r="14" spans="1:9" ht="12.75">
      <c r="A14" s="17"/>
      <c r="B14" s="17" t="s">
        <v>67</v>
      </c>
      <c r="C14" s="17" t="s">
        <v>339</v>
      </c>
      <c r="F14" s="36">
        <f t="shared" si="0"/>
        <v>0</v>
      </c>
      <c r="G14" s="36">
        <v>1.37745</v>
      </c>
      <c r="H14" s="36" t="s">
        <v>876</v>
      </c>
      <c r="I14" s="36">
        <f t="shared" si="1"/>
        <v>0</v>
      </c>
    </row>
    <row r="15" spans="1:9" ht="12.75">
      <c r="A15" s="17"/>
      <c r="B15" s="17" t="s">
        <v>166</v>
      </c>
      <c r="C15" s="17" t="s">
        <v>351</v>
      </c>
      <c r="F15" s="36">
        <f t="shared" si="0"/>
        <v>0</v>
      </c>
      <c r="G15" s="36">
        <v>0.30821</v>
      </c>
      <c r="H15" s="36" t="s">
        <v>876</v>
      </c>
      <c r="I15" s="36">
        <f t="shared" si="1"/>
        <v>0</v>
      </c>
    </row>
    <row r="16" spans="1:9" ht="12.75">
      <c r="A16" s="17"/>
      <c r="B16" s="17" t="s">
        <v>169</v>
      </c>
      <c r="C16" s="17" t="s">
        <v>362</v>
      </c>
      <c r="F16" s="36">
        <f t="shared" si="0"/>
        <v>0</v>
      </c>
      <c r="G16" s="36">
        <v>1.12308</v>
      </c>
      <c r="H16" s="36" t="s">
        <v>876</v>
      </c>
      <c r="I16" s="36">
        <f t="shared" si="1"/>
        <v>0</v>
      </c>
    </row>
    <row r="17" spans="1:9" ht="12.75">
      <c r="A17" s="17"/>
      <c r="B17" s="17" t="s">
        <v>179</v>
      </c>
      <c r="C17" s="17" t="s">
        <v>390</v>
      </c>
      <c r="F17" s="36">
        <f t="shared" si="0"/>
        <v>0</v>
      </c>
      <c r="G17" s="36">
        <v>1.87931</v>
      </c>
      <c r="H17" s="36" t="s">
        <v>876</v>
      </c>
      <c r="I17" s="36">
        <f t="shared" si="1"/>
        <v>0</v>
      </c>
    </row>
    <row r="18" spans="1:9" ht="12.75">
      <c r="A18" s="17"/>
      <c r="B18" s="17" t="s">
        <v>223</v>
      </c>
      <c r="C18" s="17" t="s">
        <v>497</v>
      </c>
      <c r="F18" s="36">
        <f t="shared" si="0"/>
        <v>0</v>
      </c>
      <c r="G18" s="36">
        <v>0.83572</v>
      </c>
      <c r="H18" s="36" t="s">
        <v>876</v>
      </c>
      <c r="I18" s="36">
        <f t="shared" si="1"/>
        <v>0</v>
      </c>
    </row>
    <row r="19" spans="1:9" ht="12.75">
      <c r="A19" s="17"/>
      <c r="B19" s="17" t="s">
        <v>233</v>
      </c>
      <c r="C19" s="17" t="s">
        <v>540</v>
      </c>
      <c r="F19" s="36">
        <f t="shared" si="0"/>
        <v>0</v>
      </c>
      <c r="G19" s="36">
        <v>0.0171</v>
      </c>
      <c r="H19" s="36" t="s">
        <v>876</v>
      </c>
      <c r="I19" s="36">
        <f t="shared" si="1"/>
        <v>0</v>
      </c>
    </row>
    <row r="20" spans="1:9" ht="12.75">
      <c r="A20" s="17"/>
      <c r="B20" s="17" t="s">
        <v>238</v>
      </c>
      <c r="C20" s="17" t="s">
        <v>549</v>
      </c>
      <c r="F20" s="36">
        <f t="shared" si="0"/>
        <v>0</v>
      </c>
      <c r="G20" s="36">
        <v>1.4703</v>
      </c>
      <c r="H20" s="36" t="s">
        <v>876</v>
      </c>
      <c r="I20" s="36">
        <f t="shared" si="1"/>
        <v>0</v>
      </c>
    </row>
    <row r="21" spans="1:9" ht="12.75">
      <c r="A21" s="17"/>
      <c r="B21" s="17" t="s">
        <v>245</v>
      </c>
      <c r="C21" s="17" t="s">
        <v>563</v>
      </c>
      <c r="F21" s="36">
        <f t="shared" si="0"/>
        <v>0</v>
      </c>
      <c r="G21" s="36">
        <v>2.73002</v>
      </c>
      <c r="H21" s="36" t="s">
        <v>876</v>
      </c>
      <c r="I21" s="36">
        <f t="shared" si="1"/>
        <v>0</v>
      </c>
    </row>
    <row r="22" spans="1:9" ht="12.75">
      <c r="A22" s="17"/>
      <c r="B22" s="17" t="s">
        <v>258</v>
      </c>
      <c r="C22" s="17" t="s">
        <v>653</v>
      </c>
      <c r="F22" s="36">
        <f t="shared" si="0"/>
        <v>0</v>
      </c>
      <c r="G22" s="36">
        <v>4.37584</v>
      </c>
      <c r="H22" s="36" t="s">
        <v>876</v>
      </c>
      <c r="I22" s="36">
        <f t="shared" si="1"/>
        <v>0</v>
      </c>
    </row>
    <row r="23" spans="1:9" ht="12.75">
      <c r="A23" s="17"/>
      <c r="B23" s="17" t="s">
        <v>265</v>
      </c>
      <c r="C23" s="17" t="s">
        <v>681</v>
      </c>
      <c r="F23" s="36">
        <f t="shared" si="0"/>
        <v>0</v>
      </c>
      <c r="G23" s="36">
        <v>0.04601</v>
      </c>
      <c r="H23" s="36" t="s">
        <v>876</v>
      </c>
      <c r="I23" s="36">
        <f t="shared" si="1"/>
        <v>0</v>
      </c>
    </row>
    <row r="24" spans="1:9" ht="12.75">
      <c r="A24" s="17"/>
      <c r="B24" s="17" t="s">
        <v>267</v>
      </c>
      <c r="C24" s="17" t="s">
        <v>707</v>
      </c>
      <c r="F24" s="36">
        <f t="shared" si="0"/>
        <v>0</v>
      </c>
      <c r="G24" s="36">
        <v>0.44498</v>
      </c>
      <c r="H24" s="36" t="s">
        <v>876</v>
      </c>
      <c r="I24" s="36">
        <f t="shared" si="1"/>
        <v>0</v>
      </c>
    </row>
    <row r="25" spans="1:9" ht="12.75">
      <c r="A25" s="17"/>
      <c r="B25" s="17" t="s">
        <v>100</v>
      </c>
      <c r="C25" s="17" t="s">
        <v>746</v>
      </c>
      <c r="F25" s="36">
        <f t="shared" si="0"/>
        <v>0</v>
      </c>
      <c r="G25" s="36">
        <v>0.64578</v>
      </c>
      <c r="H25" s="36" t="s">
        <v>876</v>
      </c>
      <c r="I25" s="36">
        <f t="shared" si="1"/>
        <v>0</v>
      </c>
    </row>
    <row r="26" spans="1:9" ht="12.75">
      <c r="A26" s="17"/>
      <c r="B26" s="17" t="s">
        <v>101</v>
      </c>
      <c r="C26" s="17" t="s">
        <v>750</v>
      </c>
      <c r="F26" s="36">
        <f t="shared" si="0"/>
        <v>0</v>
      </c>
      <c r="G26" s="36">
        <v>0.02135</v>
      </c>
      <c r="H26" s="36" t="s">
        <v>876</v>
      </c>
      <c r="I26" s="36">
        <f t="shared" si="1"/>
        <v>0</v>
      </c>
    </row>
    <row r="27" spans="1:9" ht="12.75">
      <c r="A27" s="17"/>
      <c r="B27" s="17" t="s">
        <v>102</v>
      </c>
      <c r="C27" s="17" t="s">
        <v>753</v>
      </c>
      <c r="F27" s="36">
        <f t="shared" si="0"/>
        <v>0</v>
      </c>
      <c r="G27" s="36">
        <v>0.848</v>
      </c>
      <c r="H27" s="36" t="s">
        <v>876</v>
      </c>
      <c r="I27" s="36">
        <f t="shared" si="1"/>
        <v>0</v>
      </c>
    </row>
    <row r="28" spans="1:9" ht="12.75">
      <c r="A28" s="17"/>
      <c r="B28" s="17" t="s">
        <v>103</v>
      </c>
      <c r="C28" s="17" t="s">
        <v>763</v>
      </c>
      <c r="F28" s="36">
        <f t="shared" si="0"/>
        <v>0</v>
      </c>
      <c r="G28" s="36">
        <v>14.10832</v>
      </c>
      <c r="H28" s="36" t="s">
        <v>876</v>
      </c>
      <c r="I28" s="36">
        <f t="shared" si="1"/>
        <v>0</v>
      </c>
    </row>
    <row r="29" spans="1:9" ht="12.75">
      <c r="A29" s="17"/>
      <c r="B29" s="17" t="s">
        <v>277</v>
      </c>
      <c r="C29" s="17" t="s">
        <v>789</v>
      </c>
      <c r="F29" s="36">
        <f t="shared" si="0"/>
        <v>0</v>
      </c>
      <c r="G29" s="36">
        <v>0</v>
      </c>
      <c r="H29" s="36" t="s">
        <v>876</v>
      </c>
      <c r="I29" s="36">
        <f t="shared" si="1"/>
        <v>0</v>
      </c>
    </row>
    <row r="30" spans="1:9" ht="12.75">
      <c r="A30" s="17"/>
      <c r="B30" s="17" t="s">
        <v>279</v>
      </c>
      <c r="C30" s="17" t="s">
        <v>792</v>
      </c>
      <c r="F30" s="36">
        <f t="shared" si="0"/>
        <v>0</v>
      </c>
      <c r="G30" s="36">
        <v>0</v>
      </c>
      <c r="H30" s="36" t="s">
        <v>876</v>
      </c>
      <c r="I30" s="36">
        <f t="shared" si="1"/>
        <v>0</v>
      </c>
    </row>
    <row r="32" spans="5:6" ht="12.75">
      <c r="E32" s="48" t="s">
        <v>815</v>
      </c>
      <c r="F32" s="41">
        <f>SUM(I11:I30)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7"/>
      <c r="C1" s="119" t="s">
        <v>892</v>
      </c>
      <c r="D1" s="120"/>
      <c r="E1" s="120"/>
      <c r="F1" s="120"/>
      <c r="G1" s="120"/>
      <c r="H1" s="120"/>
      <c r="I1" s="120"/>
    </row>
    <row r="2" spans="1:10" ht="12.75">
      <c r="A2" s="88" t="s">
        <v>1</v>
      </c>
      <c r="B2" s="89"/>
      <c r="C2" s="90" t="s">
        <v>285</v>
      </c>
      <c r="D2" s="70"/>
      <c r="E2" s="93" t="s">
        <v>816</v>
      </c>
      <c r="F2" s="93" t="s">
        <v>821</v>
      </c>
      <c r="G2" s="89"/>
      <c r="H2" s="93" t="s">
        <v>917</v>
      </c>
      <c r="I2" s="121"/>
      <c r="J2" s="34"/>
    </row>
    <row r="3" spans="1:10" ht="12.75">
      <c r="A3" s="85"/>
      <c r="B3" s="72"/>
      <c r="C3" s="91"/>
      <c r="D3" s="91"/>
      <c r="E3" s="72"/>
      <c r="F3" s="72"/>
      <c r="G3" s="72"/>
      <c r="H3" s="72"/>
      <c r="I3" s="83"/>
      <c r="J3" s="34"/>
    </row>
    <row r="4" spans="1:10" ht="12.75">
      <c r="A4" s="78" t="s">
        <v>2</v>
      </c>
      <c r="B4" s="72"/>
      <c r="C4" s="71" t="s">
        <v>286</v>
      </c>
      <c r="D4" s="72"/>
      <c r="E4" s="71" t="s">
        <v>817</v>
      </c>
      <c r="F4" s="71" t="s">
        <v>822</v>
      </c>
      <c r="G4" s="72"/>
      <c r="H4" s="71" t="s">
        <v>917</v>
      </c>
      <c r="I4" s="118"/>
      <c r="J4" s="34"/>
    </row>
    <row r="5" spans="1:10" ht="12.75">
      <c r="A5" s="85"/>
      <c r="B5" s="72"/>
      <c r="C5" s="72"/>
      <c r="D5" s="72"/>
      <c r="E5" s="72"/>
      <c r="F5" s="72"/>
      <c r="G5" s="72"/>
      <c r="H5" s="72"/>
      <c r="I5" s="83"/>
      <c r="J5" s="34"/>
    </row>
    <row r="6" spans="1:10" ht="12.75">
      <c r="A6" s="78" t="s">
        <v>3</v>
      </c>
      <c r="B6" s="72"/>
      <c r="C6" s="71" t="s">
        <v>287</v>
      </c>
      <c r="D6" s="72"/>
      <c r="E6" s="71" t="s">
        <v>818</v>
      </c>
      <c r="F6" s="71" t="s">
        <v>823</v>
      </c>
      <c r="G6" s="72"/>
      <c r="H6" s="71" t="s">
        <v>917</v>
      </c>
      <c r="I6" s="118"/>
      <c r="J6" s="34"/>
    </row>
    <row r="7" spans="1:10" ht="12.75">
      <c r="A7" s="85"/>
      <c r="B7" s="72"/>
      <c r="C7" s="72"/>
      <c r="D7" s="72"/>
      <c r="E7" s="72"/>
      <c r="F7" s="72"/>
      <c r="G7" s="72"/>
      <c r="H7" s="72"/>
      <c r="I7" s="83"/>
      <c r="J7" s="34"/>
    </row>
    <row r="8" spans="1:10" ht="12.75">
      <c r="A8" s="78" t="s">
        <v>801</v>
      </c>
      <c r="B8" s="72"/>
      <c r="C8" s="81" t="s">
        <v>6</v>
      </c>
      <c r="D8" s="72"/>
      <c r="E8" s="71" t="s">
        <v>802</v>
      </c>
      <c r="F8" s="72"/>
      <c r="G8" s="72"/>
      <c r="H8" s="81" t="s">
        <v>918</v>
      </c>
      <c r="I8" s="118" t="s">
        <v>142</v>
      </c>
      <c r="J8" s="34"/>
    </row>
    <row r="9" spans="1:10" ht="12.75">
      <c r="A9" s="85"/>
      <c r="B9" s="72"/>
      <c r="C9" s="72"/>
      <c r="D9" s="72"/>
      <c r="E9" s="72"/>
      <c r="F9" s="72"/>
      <c r="G9" s="72"/>
      <c r="H9" s="72"/>
      <c r="I9" s="83"/>
      <c r="J9" s="34"/>
    </row>
    <row r="10" spans="1:10" ht="12.75">
      <c r="A10" s="78" t="s">
        <v>4</v>
      </c>
      <c r="B10" s="72"/>
      <c r="C10" s="71"/>
      <c r="D10" s="72"/>
      <c r="E10" s="71" t="s">
        <v>819</v>
      </c>
      <c r="F10" s="71" t="s">
        <v>824</v>
      </c>
      <c r="G10" s="72"/>
      <c r="H10" s="81" t="s">
        <v>919</v>
      </c>
      <c r="I10" s="116">
        <v>42501</v>
      </c>
      <c r="J10" s="34"/>
    </row>
    <row r="11" spans="1:10" ht="12.75">
      <c r="A11" s="114"/>
      <c r="B11" s="115"/>
      <c r="C11" s="115"/>
      <c r="D11" s="115"/>
      <c r="E11" s="115"/>
      <c r="F11" s="115"/>
      <c r="G11" s="115"/>
      <c r="H11" s="115"/>
      <c r="I11" s="117"/>
      <c r="J11" s="34"/>
    </row>
    <row r="12" spans="1:9" ht="23.25" customHeight="1">
      <c r="A12" s="110" t="s">
        <v>877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51" t="s">
        <v>878</v>
      </c>
      <c r="B13" s="112" t="s">
        <v>890</v>
      </c>
      <c r="C13" s="113"/>
      <c r="D13" s="51" t="s">
        <v>893</v>
      </c>
      <c r="E13" s="112" t="s">
        <v>902</v>
      </c>
      <c r="F13" s="113"/>
      <c r="G13" s="51" t="s">
        <v>903</v>
      </c>
      <c r="H13" s="112" t="s">
        <v>920</v>
      </c>
      <c r="I13" s="113"/>
      <c r="J13" s="34"/>
    </row>
    <row r="14" spans="1:10" ht="15" customHeight="1">
      <c r="A14" s="52" t="s">
        <v>879</v>
      </c>
      <c r="B14" s="56" t="s">
        <v>891</v>
      </c>
      <c r="C14" s="59">
        <f>SUM('Stavební rozpočet'!R12:R632)</f>
        <v>0</v>
      </c>
      <c r="D14" s="108" t="s">
        <v>894</v>
      </c>
      <c r="E14" s="109"/>
      <c r="F14" s="59">
        <v>0</v>
      </c>
      <c r="G14" s="108" t="s">
        <v>904</v>
      </c>
      <c r="H14" s="109"/>
      <c r="I14" s="59">
        <v>0</v>
      </c>
      <c r="J14" s="34"/>
    </row>
    <row r="15" spans="1:10" ht="15" customHeight="1">
      <c r="A15" s="53"/>
      <c r="B15" s="56" t="s">
        <v>820</v>
      </c>
      <c r="C15" s="59">
        <f>SUM('Stavební rozpočet'!S12:S632)</f>
        <v>0</v>
      </c>
      <c r="D15" s="108" t="s">
        <v>895</v>
      </c>
      <c r="E15" s="109"/>
      <c r="F15" s="59">
        <v>0</v>
      </c>
      <c r="G15" s="108" t="s">
        <v>905</v>
      </c>
      <c r="H15" s="109"/>
      <c r="I15" s="59">
        <v>0</v>
      </c>
      <c r="J15" s="34"/>
    </row>
    <row r="16" spans="1:10" ht="15" customHeight="1">
      <c r="A16" s="52" t="s">
        <v>880</v>
      </c>
      <c r="B16" s="56" t="s">
        <v>891</v>
      </c>
      <c r="C16" s="59">
        <f>SUM('Stavební rozpočet'!T12:T632)</f>
        <v>0</v>
      </c>
      <c r="D16" s="108" t="s">
        <v>896</v>
      </c>
      <c r="E16" s="109"/>
      <c r="F16" s="59">
        <v>0</v>
      </c>
      <c r="G16" s="108" t="s">
        <v>906</v>
      </c>
      <c r="H16" s="109"/>
      <c r="I16" s="59">
        <v>0</v>
      </c>
      <c r="J16" s="34"/>
    </row>
    <row r="17" spans="1:10" ht="15" customHeight="1">
      <c r="A17" s="53"/>
      <c r="B17" s="56" t="s">
        <v>820</v>
      </c>
      <c r="C17" s="59">
        <f>SUM('Stavební rozpočet'!U12:U632)</f>
        <v>0</v>
      </c>
      <c r="D17" s="108"/>
      <c r="E17" s="109"/>
      <c r="F17" s="60"/>
      <c r="G17" s="108" t="s">
        <v>907</v>
      </c>
      <c r="H17" s="109"/>
      <c r="I17" s="59">
        <v>0</v>
      </c>
      <c r="J17" s="34"/>
    </row>
    <row r="18" spans="1:10" ht="15" customHeight="1">
      <c r="A18" s="52" t="s">
        <v>881</v>
      </c>
      <c r="B18" s="56" t="s">
        <v>891</v>
      </c>
      <c r="C18" s="59">
        <f>SUM('Stavební rozpočet'!V12:V632)</f>
        <v>0</v>
      </c>
      <c r="D18" s="108"/>
      <c r="E18" s="109"/>
      <c r="F18" s="60"/>
      <c r="G18" s="108" t="s">
        <v>908</v>
      </c>
      <c r="H18" s="109"/>
      <c r="I18" s="59">
        <v>0</v>
      </c>
      <c r="J18" s="34"/>
    </row>
    <row r="19" spans="1:10" ht="15" customHeight="1">
      <c r="A19" s="53"/>
      <c r="B19" s="56" t="s">
        <v>820</v>
      </c>
      <c r="C19" s="59">
        <f>SUM('Stavební rozpočet'!W12:W632)</f>
        <v>0</v>
      </c>
      <c r="D19" s="108"/>
      <c r="E19" s="109"/>
      <c r="F19" s="60"/>
      <c r="G19" s="108" t="s">
        <v>909</v>
      </c>
      <c r="H19" s="109"/>
      <c r="I19" s="59">
        <v>0</v>
      </c>
      <c r="J19" s="34"/>
    </row>
    <row r="20" spans="1:10" ht="15" customHeight="1">
      <c r="A20" s="106" t="s">
        <v>882</v>
      </c>
      <c r="B20" s="107"/>
      <c r="C20" s="59">
        <f>SUM('Stavební rozpočet'!X12:X632)</f>
        <v>0</v>
      </c>
      <c r="D20" s="108"/>
      <c r="E20" s="109"/>
      <c r="F20" s="60"/>
      <c r="G20" s="108"/>
      <c r="H20" s="109"/>
      <c r="I20" s="60"/>
      <c r="J20" s="34"/>
    </row>
    <row r="21" spans="1:10" ht="15" customHeight="1">
      <c r="A21" s="106" t="s">
        <v>883</v>
      </c>
      <c r="B21" s="107"/>
      <c r="C21" s="59">
        <f>SUM('Stavební rozpočet'!P12:P632)</f>
        <v>0</v>
      </c>
      <c r="D21" s="108"/>
      <c r="E21" s="109"/>
      <c r="F21" s="60"/>
      <c r="G21" s="108"/>
      <c r="H21" s="109"/>
      <c r="I21" s="60"/>
      <c r="J21" s="34"/>
    </row>
    <row r="22" spans="1:10" ht="16.5" customHeight="1">
      <c r="A22" s="106" t="s">
        <v>884</v>
      </c>
      <c r="B22" s="107"/>
      <c r="C22" s="59">
        <f>SUM(C14:C21)</f>
        <v>0</v>
      </c>
      <c r="D22" s="106" t="s">
        <v>897</v>
      </c>
      <c r="E22" s="107"/>
      <c r="F22" s="59">
        <f>SUM(F14:F21)</f>
        <v>0</v>
      </c>
      <c r="G22" s="106" t="s">
        <v>910</v>
      </c>
      <c r="H22" s="107"/>
      <c r="I22" s="59">
        <f>SUM(I14:I21)</f>
        <v>0</v>
      </c>
      <c r="J22" s="34"/>
    </row>
    <row r="23" spans="1:10" ht="15" customHeight="1">
      <c r="A23" s="8"/>
      <c r="B23" s="8"/>
      <c r="C23" s="57"/>
      <c r="D23" s="106" t="s">
        <v>898</v>
      </c>
      <c r="E23" s="107"/>
      <c r="F23" s="61">
        <v>0</v>
      </c>
      <c r="G23" s="106" t="s">
        <v>911</v>
      </c>
      <c r="H23" s="107"/>
      <c r="I23" s="59">
        <v>0</v>
      </c>
      <c r="J23" s="34"/>
    </row>
    <row r="24" spans="4:9" ht="15" customHeight="1">
      <c r="D24" s="8"/>
      <c r="E24" s="8"/>
      <c r="F24" s="62"/>
      <c r="G24" s="106" t="s">
        <v>912</v>
      </c>
      <c r="H24" s="107"/>
      <c r="I24" s="64"/>
    </row>
    <row r="25" spans="6:10" ht="15" customHeight="1">
      <c r="F25" s="63"/>
      <c r="G25" s="106" t="s">
        <v>913</v>
      </c>
      <c r="H25" s="107"/>
      <c r="I25" s="59">
        <v>0</v>
      </c>
      <c r="J25" s="34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101" t="s">
        <v>885</v>
      </c>
      <c r="B27" s="102"/>
      <c r="C27" s="65">
        <f>SUM('Stavební rozpočet'!Z12:Z632)</f>
        <v>0</v>
      </c>
      <c r="D27" s="58"/>
      <c r="E27" s="7"/>
      <c r="F27" s="7"/>
      <c r="G27" s="7"/>
      <c r="H27" s="7"/>
      <c r="I27" s="7"/>
    </row>
    <row r="28" spans="1:10" ht="15" customHeight="1">
      <c r="A28" s="101" t="s">
        <v>886</v>
      </c>
      <c r="B28" s="102"/>
      <c r="C28" s="65">
        <f>SUM('Stavební rozpočet'!AA12:AA632)</f>
        <v>0</v>
      </c>
      <c r="D28" s="101" t="s">
        <v>899</v>
      </c>
      <c r="E28" s="102"/>
      <c r="F28" s="65">
        <f>ROUND(C28*(15/100),2)</f>
        <v>0</v>
      </c>
      <c r="G28" s="101" t="s">
        <v>914</v>
      </c>
      <c r="H28" s="102"/>
      <c r="I28" s="65">
        <f>SUM(C27:C29)</f>
        <v>0</v>
      </c>
      <c r="J28" s="34"/>
    </row>
    <row r="29" spans="1:10" ht="15" customHeight="1">
      <c r="A29" s="101" t="s">
        <v>887</v>
      </c>
      <c r="B29" s="102"/>
      <c r="C29" s="65">
        <f>SUM('Stavební rozpočet'!AB12:AB632)+(F22+I22+F23+I23+I24+I25)</f>
        <v>0</v>
      </c>
      <c r="D29" s="101" t="s">
        <v>900</v>
      </c>
      <c r="E29" s="102"/>
      <c r="F29" s="65">
        <f>ROUND(C29*(21/100),2)</f>
        <v>0</v>
      </c>
      <c r="G29" s="101" t="s">
        <v>915</v>
      </c>
      <c r="H29" s="102"/>
      <c r="I29" s="65">
        <f>SUM(F28:F29)+I28</f>
        <v>0</v>
      </c>
      <c r="J29" s="34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103" t="s">
        <v>888</v>
      </c>
      <c r="B31" s="104"/>
      <c r="C31" s="105"/>
      <c r="D31" s="103" t="s">
        <v>901</v>
      </c>
      <c r="E31" s="104"/>
      <c r="F31" s="105"/>
      <c r="G31" s="103" t="s">
        <v>916</v>
      </c>
      <c r="H31" s="104"/>
      <c r="I31" s="105"/>
      <c r="J31" s="35"/>
    </row>
    <row r="32" spans="1:10" ht="14.25" customHeight="1">
      <c r="A32" s="95"/>
      <c r="B32" s="96"/>
      <c r="C32" s="97"/>
      <c r="D32" s="95"/>
      <c r="E32" s="96"/>
      <c r="F32" s="97"/>
      <c r="G32" s="95"/>
      <c r="H32" s="96"/>
      <c r="I32" s="97"/>
      <c r="J32" s="35"/>
    </row>
    <row r="33" spans="1:10" ht="14.25" customHeight="1">
      <c r="A33" s="95"/>
      <c r="B33" s="96"/>
      <c r="C33" s="97"/>
      <c r="D33" s="95"/>
      <c r="E33" s="96"/>
      <c r="F33" s="97"/>
      <c r="G33" s="95"/>
      <c r="H33" s="96"/>
      <c r="I33" s="97"/>
      <c r="J33" s="35"/>
    </row>
    <row r="34" spans="1:10" ht="14.25" customHeight="1">
      <c r="A34" s="95"/>
      <c r="B34" s="96"/>
      <c r="C34" s="97"/>
      <c r="D34" s="95"/>
      <c r="E34" s="96"/>
      <c r="F34" s="97"/>
      <c r="G34" s="95"/>
      <c r="H34" s="96"/>
      <c r="I34" s="97"/>
      <c r="J34" s="35"/>
    </row>
    <row r="35" spans="1:10" ht="14.25" customHeight="1">
      <c r="A35" s="98" t="s">
        <v>889</v>
      </c>
      <c r="B35" s="99"/>
      <c r="C35" s="100"/>
      <c r="D35" s="98" t="s">
        <v>889</v>
      </c>
      <c r="E35" s="99"/>
      <c r="F35" s="100"/>
      <c r="G35" s="98" t="s">
        <v>889</v>
      </c>
      <c r="H35" s="99"/>
      <c r="I35" s="100"/>
      <c r="J35" s="35"/>
    </row>
    <row r="36" spans="1:9" ht="11.25" customHeight="1">
      <c r="A36" s="55" t="s">
        <v>143</v>
      </c>
      <c r="B36" s="47"/>
      <c r="C36" s="47"/>
      <c r="D36" s="47"/>
      <c r="E36" s="47"/>
      <c r="F36" s="47"/>
      <c r="G36" s="47"/>
      <c r="H36" s="47"/>
      <c r="I36" s="47"/>
    </row>
    <row r="37" spans="1:9" ht="409.5" customHeight="1" hidden="1">
      <c r="A37" s="71"/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Dohnal</cp:lastModifiedBy>
  <dcterms:created xsi:type="dcterms:W3CDTF">2016-05-12T10:28:50Z</dcterms:created>
  <dcterms:modified xsi:type="dcterms:W3CDTF">2016-05-26T08:00:07Z</dcterms:modified>
  <cp:category/>
  <cp:version/>
  <cp:contentType/>
  <cp:contentStatus/>
</cp:coreProperties>
</file>